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U11229\Downloads\"/>
    </mc:Choice>
  </mc:AlternateContent>
  <workbookProtection workbookAlgorithmName="SHA-512" workbookHashValue="+FL5RjDgUkyeeHwqykD0U5zHzLWRC9oEjIT6MoOyc5TrByydPzXvrvg7flc4f6rfJRSeJXqC7Nmh7H+52TfTwQ==" workbookSaltValue="6xKWWt2hutac0iUJAWJ1yA==" workbookSpinCount="100000" lockStructure="1"/>
  <bookViews>
    <workbookView xWindow="20370" yWindow="-120" windowWidth="24240" windowHeight="13020" tabRatio="457"/>
  </bookViews>
  <sheets>
    <sheet name="QUADRO DE CARGAS" sheetId="4" r:id="rId1"/>
    <sheet name="SE AÉREA" sheetId="6" r:id="rId2"/>
    <sheet name="GERAL" sheetId="7" state="hidden" r:id="rId3"/>
    <sheet name="CÁLCULOS" sheetId="5" state="hidden" r:id="rId4"/>
    <sheet name="TAB 02" sheetId="8" state="hidden" r:id="rId5"/>
    <sheet name="TAB 03" sheetId="9" state="hidden" r:id="rId6"/>
    <sheet name="TAB 04" sheetId="10" state="hidden" r:id="rId7"/>
    <sheet name="TAB 19" sheetId="11" state="hidden" r:id="rId8"/>
    <sheet name="TAB 25" sheetId="13" state="hidden" r:id="rId9"/>
    <sheet name="Para Raios" sheetId="12" state="hidden" r:id="rId10"/>
  </sheets>
  <externalReferences>
    <externalReference r:id="rId11"/>
  </externalReferences>
  <definedNames>
    <definedName name="a0" localSheetId="9">[1]Cálculo!#REF!</definedName>
    <definedName name="a0">'SE AÉREA'!#REF!</definedName>
    <definedName name="_xlnm.Print_Area" localSheetId="3">CÁLCULOS!$B$7:$K$28</definedName>
    <definedName name="_xlnm.Print_Area" localSheetId="0">'QUADRO DE CARGAS'!$A$1:$O$109</definedName>
    <definedName name="_xlnm.Print_Area" localSheetId="1">'SE AÉREA'!$A$1:$R$147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3" i="4" l="1"/>
  <c r="F103" i="4"/>
  <c r="H103" i="4" s="1"/>
  <c r="K103" i="4" s="1"/>
  <c r="K104" i="4"/>
  <c r="J104" i="4"/>
  <c r="H104" i="4"/>
  <c r="F104" i="4"/>
  <c r="K102" i="4"/>
  <c r="J102" i="4"/>
  <c r="H102" i="4"/>
  <c r="F102" i="4"/>
  <c r="K101" i="4"/>
  <c r="J101" i="4"/>
  <c r="H101" i="4"/>
  <c r="F101" i="4"/>
  <c r="K100" i="4"/>
  <c r="J100" i="4"/>
  <c r="H100" i="4"/>
  <c r="F100" i="4"/>
  <c r="K99" i="4"/>
  <c r="J99" i="4"/>
  <c r="H99" i="4"/>
  <c r="F99" i="4"/>
  <c r="K98" i="4"/>
  <c r="J98" i="4"/>
  <c r="H98" i="4"/>
  <c r="F98" i="4"/>
  <c r="K97" i="4"/>
  <c r="J97" i="4"/>
  <c r="H97" i="4"/>
  <c r="F97" i="4"/>
  <c r="K96" i="4"/>
  <c r="J96" i="4"/>
  <c r="H96" i="4"/>
  <c r="F96" i="4"/>
  <c r="K95" i="4"/>
  <c r="J95" i="4"/>
  <c r="H95" i="4"/>
  <c r="F95" i="4"/>
  <c r="K94" i="4"/>
  <c r="J94" i="4"/>
  <c r="H94" i="4"/>
  <c r="F94" i="4"/>
  <c r="K93" i="4"/>
  <c r="J93" i="4"/>
  <c r="H93" i="4"/>
  <c r="F93" i="4"/>
  <c r="K92" i="4"/>
  <c r="J92" i="4"/>
  <c r="H92" i="4"/>
  <c r="F92" i="4"/>
  <c r="K91" i="4"/>
  <c r="J91" i="4"/>
  <c r="H91" i="4"/>
  <c r="F91" i="4"/>
  <c r="K90" i="4"/>
  <c r="J90" i="4"/>
  <c r="H90" i="4"/>
  <c r="F90" i="4"/>
  <c r="K89" i="4"/>
  <c r="J89" i="4"/>
  <c r="H89" i="4"/>
  <c r="F89" i="4"/>
  <c r="K88" i="4"/>
  <c r="J88" i="4"/>
  <c r="H88" i="4"/>
  <c r="F88" i="4"/>
  <c r="K87" i="4"/>
  <c r="J87" i="4"/>
  <c r="H87" i="4"/>
  <c r="F87" i="4"/>
  <c r="K86" i="4"/>
  <c r="J86" i="4"/>
  <c r="H86" i="4"/>
  <c r="F86" i="4"/>
  <c r="K85" i="4"/>
  <c r="J85" i="4"/>
  <c r="H85" i="4"/>
  <c r="F85" i="4"/>
  <c r="K84" i="4"/>
  <c r="J84" i="4"/>
  <c r="H84" i="4"/>
  <c r="F84" i="4"/>
  <c r="K83" i="4"/>
  <c r="J83" i="4"/>
  <c r="H83" i="4"/>
  <c r="F83" i="4"/>
  <c r="K82" i="4"/>
  <c r="J82" i="4"/>
  <c r="H82" i="4"/>
  <c r="F82" i="4"/>
  <c r="K81" i="4"/>
  <c r="J81" i="4"/>
  <c r="H81" i="4"/>
  <c r="F81" i="4"/>
  <c r="K80" i="4"/>
  <c r="J80" i="4"/>
  <c r="H80" i="4"/>
  <c r="F80" i="4"/>
  <c r="K79" i="4"/>
  <c r="J79" i="4"/>
  <c r="H79" i="4"/>
  <c r="F79" i="4"/>
  <c r="K78" i="4"/>
  <c r="J78" i="4"/>
  <c r="H78" i="4"/>
  <c r="F78" i="4"/>
  <c r="K77" i="4"/>
  <c r="J77" i="4"/>
  <c r="H77" i="4"/>
  <c r="F77" i="4"/>
  <c r="K76" i="4"/>
  <c r="J76" i="4"/>
  <c r="H76" i="4"/>
  <c r="F76" i="4"/>
  <c r="K75" i="4"/>
  <c r="J75" i="4"/>
  <c r="H75" i="4"/>
  <c r="F75" i="4"/>
  <c r="K74" i="4"/>
  <c r="J74" i="4"/>
  <c r="H74" i="4"/>
  <c r="F74" i="4"/>
  <c r="K73" i="4"/>
  <c r="J73" i="4"/>
  <c r="H73" i="4"/>
  <c r="F73" i="4"/>
  <c r="K72" i="4"/>
  <c r="J72" i="4"/>
  <c r="H72" i="4"/>
  <c r="F72" i="4"/>
  <c r="K71" i="4"/>
  <c r="J71" i="4"/>
  <c r="H71" i="4"/>
  <c r="F71" i="4"/>
  <c r="K70" i="4"/>
  <c r="J70" i="4"/>
  <c r="H70" i="4"/>
  <c r="F70" i="4"/>
  <c r="K69" i="4"/>
  <c r="J69" i="4"/>
  <c r="H69" i="4"/>
  <c r="F69" i="4"/>
  <c r="K68" i="4"/>
  <c r="J68" i="4"/>
  <c r="H68" i="4"/>
  <c r="F68" i="4"/>
  <c r="K67" i="4"/>
  <c r="J67" i="4"/>
  <c r="H67" i="4"/>
  <c r="F67" i="4"/>
  <c r="K66" i="4"/>
  <c r="J66" i="4"/>
  <c r="H66" i="4"/>
  <c r="F66" i="4"/>
  <c r="K65" i="4"/>
  <c r="J65" i="4"/>
  <c r="H65" i="4"/>
  <c r="F65" i="4"/>
  <c r="K64" i="4"/>
  <c r="J64" i="4"/>
  <c r="H64" i="4"/>
  <c r="F64" i="4"/>
  <c r="K63" i="4"/>
  <c r="J63" i="4"/>
  <c r="H63" i="4"/>
  <c r="F63" i="4"/>
  <c r="K62" i="4"/>
  <c r="J62" i="4"/>
  <c r="H62" i="4"/>
  <c r="F62" i="4"/>
  <c r="K61" i="4"/>
  <c r="J61" i="4"/>
  <c r="H61" i="4"/>
  <c r="F61" i="4"/>
  <c r="K60" i="4"/>
  <c r="J60" i="4"/>
  <c r="H60" i="4"/>
  <c r="F60" i="4"/>
  <c r="K59" i="4"/>
  <c r="J59" i="4"/>
  <c r="H59" i="4"/>
  <c r="F59" i="4"/>
  <c r="K58" i="4"/>
  <c r="J58" i="4"/>
  <c r="H58" i="4"/>
  <c r="F58" i="4"/>
  <c r="K57" i="4"/>
  <c r="J57" i="4"/>
  <c r="H57" i="4"/>
  <c r="F57" i="4"/>
  <c r="K56" i="4"/>
  <c r="J56" i="4"/>
  <c r="H56" i="4"/>
  <c r="F56" i="4"/>
  <c r="K55" i="4"/>
  <c r="J55" i="4"/>
  <c r="H55" i="4"/>
  <c r="F55" i="4"/>
  <c r="G47" i="13" l="1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E13" i="8"/>
  <c r="D13" i="8"/>
  <c r="E12" i="8"/>
  <c r="D12" i="8"/>
  <c r="E11" i="8"/>
  <c r="D11" i="8"/>
  <c r="F4" i="5"/>
  <c r="F3" i="5"/>
  <c r="AO187" i="6"/>
  <c r="AO186" i="6"/>
  <c r="AO185" i="6"/>
  <c r="AO184" i="6"/>
  <c r="AO183" i="6"/>
  <c r="AO182" i="6"/>
  <c r="B142" i="6"/>
  <c r="C137" i="6"/>
  <c r="E135" i="6"/>
  <c r="C135" i="6"/>
  <c r="E116" i="6"/>
  <c r="C116" i="6"/>
  <c r="H90" i="6"/>
  <c r="B90" i="6"/>
  <c r="F89" i="6"/>
  <c r="C89" i="6"/>
  <c r="B89" i="6"/>
  <c r="I87" i="6"/>
  <c r="G87" i="6"/>
  <c r="C87" i="6"/>
  <c r="C81" i="6"/>
  <c r="H78" i="6"/>
  <c r="C77" i="6"/>
  <c r="C76" i="6"/>
  <c r="C75" i="6"/>
  <c r="B75" i="6"/>
  <c r="K53" i="4"/>
  <c r="J53" i="4"/>
  <c r="H53" i="4"/>
  <c r="F53" i="4"/>
  <c r="K52" i="4"/>
  <c r="J52" i="4"/>
  <c r="H52" i="4"/>
  <c r="F52" i="4"/>
  <c r="K51" i="4"/>
  <c r="J51" i="4"/>
  <c r="H51" i="4"/>
  <c r="F51" i="4"/>
  <c r="K50" i="4"/>
  <c r="J50" i="4"/>
  <c r="H50" i="4"/>
  <c r="F50" i="4"/>
  <c r="K49" i="4"/>
  <c r="J49" i="4"/>
  <c r="H49" i="4"/>
  <c r="F49" i="4"/>
  <c r="K48" i="4"/>
  <c r="J48" i="4"/>
  <c r="H48" i="4"/>
  <c r="F48" i="4"/>
  <c r="K47" i="4"/>
  <c r="J47" i="4"/>
  <c r="H47" i="4"/>
  <c r="F47" i="4"/>
  <c r="K46" i="4"/>
  <c r="J46" i="4"/>
  <c r="H46" i="4"/>
  <c r="F46" i="4"/>
  <c r="K45" i="4"/>
  <c r="J45" i="4"/>
  <c r="H45" i="4"/>
  <c r="F45" i="4"/>
  <c r="K44" i="4"/>
  <c r="J44" i="4"/>
  <c r="H44" i="4"/>
  <c r="F44" i="4"/>
  <c r="K43" i="4"/>
  <c r="J43" i="4"/>
  <c r="H43" i="4"/>
  <c r="F43" i="4"/>
  <c r="K42" i="4"/>
  <c r="J42" i="4"/>
  <c r="H42" i="4"/>
  <c r="F42" i="4"/>
  <c r="K41" i="4"/>
  <c r="J41" i="4"/>
  <c r="H41" i="4"/>
  <c r="F41" i="4"/>
  <c r="K40" i="4"/>
  <c r="J40" i="4"/>
  <c r="H40" i="4"/>
  <c r="F40" i="4"/>
  <c r="K39" i="4"/>
  <c r="J39" i="4"/>
  <c r="H39" i="4"/>
  <c r="F39" i="4"/>
  <c r="K38" i="4"/>
  <c r="J38" i="4"/>
  <c r="H38" i="4"/>
  <c r="F38" i="4"/>
  <c r="K37" i="4"/>
  <c r="J37" i="4"/>
  <c r="H37" i="4"/>
  <c r="F37" i="4"/>
  <c r="K36" i="4"/>
  <c r="J36" i="4"/>
  <c r="H36" i="4"/>
  <c r="F36" i="4"/>
  <c r="K35" i="4"/>
  <c r="J35" i="4"/>
  <c r="H35" i="4"/>
  <c r="F35" i="4"/>
  <c r="K34" i="4"/>
  <c r="J34" i="4"/>
  <c r="H34" i="4"/>
  <c r="F34" i="4"/>
  <c r="K33" i="4"/>
  <c r="J33" i="4"/>
  <c r="H33" i="4"/>
  <c r="F33" i="4"/>
  <c r="K32" i="4"/>
  <c r="J32" i="4"/>
  <c r="H32" i="4"/>
  <c r="F32" i="4"/>
  <c r="K31" i="4"/>
  <c r="J31" i="4"/>
  <c r="H31" i="4"/>
  <c r="F31" i="4"/>
  <c r="K30" i="4"/>
  <c r="J30" i="4"/>
  <c r="H30" i="4"/>
  <c r="F30" i="4"/>
  <c r="K29" i="4"/>
  <c r="J29" i="4"/>
  <c r="H29" i="4"/>
  <c r="F29" i="4"/>
  <c r="K28" i="4"/>
  <c r="J28" i="4"/>
  <c r="H28" i="4"/>
  <c r="F28" i="4"/>
  <c r="K27" i="4"/>
  <c r="J27" i="4"/>
  <c r="H27" i="4"/>
  <c r="F27" i="4"/>
  <c r="K26" i="4"/>
  <c r="J26" i="4"/>
  <c r="H26" i="4"/>
  <c r="F26" i="4"/>
  <c r="K25" i="4"/>
  <c r="J25" i="4"/>
  <c r="H25" i="4"/>
  <c r="F25" i="4"/>
  <c r="K24" i="4"/>
  <c r="J24" i="4"/>
  <c r="H24" i="4"/>
  <c r="F24" i="4"/>
  <c r="K23" i="4"/>
  <c r="J23" i="4"/>
  <c r="H23" i="4"/>
  <c r="F23" i="4"/>
  <c r="K22" i="4"/>
  <c r="J22" i="4"/>
  <c r="H22" i="4"/>
  <c r="F22" i="4"/>
  <c r="K21" i="4"/>
  <c r="J21" i="4"/>
  <c r="H21" i="4"/>
  <c r="F21" i="4"/>
  <c r="K20" i="4"/>
  <c r="J20" i="4"/>
  <c r="H20" i="4"/>
  <c r="F20" i="4"/>
  <c r="K19" i="4"/>
  <c r="J19" i="4"/>
  <c r="H19" i="4"/>
  <c r="F19" i="4"/>
  <c r="K18" i="4"/>
  <c r="J18" i="4"/>
  <c r="H18" i="4"/>
  <c r="F18" i="4"/>
  <c r="K17" i="4"/>
  <c r="J17" i="4"/>
  <c r="H17" i="4"/>
  <c r="F17" i="4"/>
  <c r="K16" i="4"/>
  <c r="J16" i="4"/>
  <c r="H16" i="4"/>
  <c r="F16" i="4"/>
  <c r="K15" i="4"/>
  <c r="J15" i="4"/>
  <c r="H15" i="4"/>
  <c r="F15" i="4"/>
  <c r="K14" i="4"/>
  <c r="J14" i="4"/>
  <c r="H14" i="4"/>
  <c r="F14" i="4"/>
  <c r="K13" i="4"/>
  <c r="J13" i="4"/>
  <c r="H13" i="4"/>
  <c r="F13" i="4"/>
  <c r="K12" i="4"/>
  <c r="J12" i="4"/>
  <c r="H12" i="4"/>
  <c r="F12" i="4"/>
  <c r="K11" i="4"/>
  <c r="J11" i="4"/>
  <c r="H11" i="4"/>
  <c r="F11" i="4"/>
  <c r="K10" i="4"/>
  <c r="J10" i="4"/>
  <c r="H10" i="4"/>
  <c r="F10" i="4"/>
  <c r="K9" i="4"/>
  <c r="J9" i="4"/>
  <c r="H9" i="4"/>
  <c r="F9" i="4"/>
  <c r="K8" i="4"/>
  <c r="J8" i="4"/>
  <c r="H8" i="4"/>
  <c r="F8" i="4"/>
  <c r="K7" i="4"/>
  <c r="J7" i="4"/>
  <c r="H7" i="4"/>
  <c r="F7" i="4"/>
  <c r="F6" i="4"/>
  <c r="H6" i="4" s="1"/>
  <c r="K6" i="4" s="1"/>
  <c r="F5" i="4"/>
  <c r="J5" i="4" s="1"/>
  <c r="J6" i="4" l="1"/>
  <c r="J105" i="4" s="1"/>
  <c r="J2" i="5" s="1"/>
  <c r="C23" i="5" s="1"/>
  <c r="H5" i="4"/>
  <c r="K5" i="4" s="1"/>
  <c r="K105" i="4" s="1"/>
  <c r="K2" i="5" s="1"/>
  <c r="C13" i="5" s="1"/>
  <c r="D15" i="5" s="1"/>
  <c r="F105" i="4"/>
  <c r="H105" i="4" l="1"/>
  <c r="F108" i="4" s="1"/>
  <c r="F2" i="5"/>
  <c r="C22" i="5" s="1"/>
  <c r="D19" i="6"/>
  <c r="C34" i="6"/>
  <c r="C97" i="6" s="1"/>
  <c r="E104" i="6" s="1"/>
  <c r="B35" i="6"/>
  <c r="C36" i="6" s="1"/>
  <c r="C19" i="6" l="1"/>
  <c r="C61" i="6" s="1"/>
  <c r="H128" i="6" s="1"/>
  <c r="H2" i="5"/>
  <c r="C27" i="6"/>
  <c r="D123" i="6"/>
  <c r="G37" i="6"/>
  <c r="D53" i="6" s="1"/>
  <c r="F5" i="5"/>
  <c r="C24" i="5" s="1"/>
  <c r="C26" i="5" s="1"/>
  <c r="C31" i="6" l="1"/>
  <c r="C28" i="6"/>
  <c r="B70" i="6"/>
  <c r="C70" i="6"/>
  <c r="E63" i="6"/>
  <c r="F133" i="6" s="1"/>
  <c r="C59" i="6"/>
  <c r="C21" i="6"/>
  <c r="D21" i="6"/>
  <c r="D64" i="6"/>
  <c r="G122" i="6" s="1"/>
  <c r="B123" i="6"/>
  <c r="E40" i="6"/>
  <c r="F138" i="6"/>
  <c r="D51" i="6"/>
  <c r="C123" i="6" s="1"/>
  <c r="G41" i="6"/>
  <c r="G138" i="6" s="1"/>
</calcChain>
</file>

<file path=xl/comments1.xml><?xml version="1.0" encoding="utf-8"?>
<comments xmlns="http://schemas.openxmlformats.org/spreadsheetml/2006/main">
  <authors>
    <author>Gilberto Teixeira Carrera</author>
  </authors>
  <commentList>
    <comment ref="C4" authorId="0" shapeId="0">
      <text>
        <r>
          <rPr>
            <b/>
            <sz val="9"/>
            <rFont val="Tahoma"/>
            <family val="2"/>
          </rPr>
          <t>DESCREVER CARGAS: ILUMINAÇÃO, TOMADAS DE USO GERAL, TOMADAS ESPECÍFICAS, MOTORES, MÁQUINAS DE SOLDA, APARELHOS HOSPITALARES E ETC</t>
        </r>
      </text>
    </comment>
    <comment ref="D4" authorId="0" shapeId="0">
      <text>
        <r>
          <rPr>
            <b/>
            <sz val="9"/>
            <rFont val="Tahoma"/>
            <family val="2"/>
          </rPr>
          <t>QUANTIDADE DE EQUIPAMENTOS POR TIPO DE CARGA</t>
        </r>
        <r>
          <rPr>
            <sz val="9"/>
            <rFont val="Tahoma"/>
            <family val="2"/>
          </rPr>
          <t xml:space="preserve">
</t>
        </r>
      </text>
    </comment>
    <comment ref="E4" authorId="0" shapeId="0">
      <text>
        <r>
          <rPr>
            <b/>
            <sz val="9"/>
            <rFont val="Tahoma"/>
            <family val="2"/>
          </rPr>
          <t>Potência Unitária da Carga em kW</t>
        </r>
      </text>
    </comment>
    <comment ref="F4" authorId="0" shapeId="0">
      <text>
        <r>
          <rPr>
            <b/>
            <sz val="9"/>
            <rFont val="Tahoma"/>
            <family val="2"/>
          </rPr>
          <t>CI (kW) = Pot * Quant</t>
        </r>
      </text>
    </comment>
    <comment ref="G4" authorId="0" shapeId="0">
      <text>
        <r>
          <rPr>
            <b/>
            <sz val="9"/>
            <rFont val="Tahoma"/>
            <family val="2"/>
          </rPr>
          <t>FATOR DE POTÊNCIA</t>
        </r>
        <r>
          <rPr>
            <sz val="9"/>
            <rFont val="Tahoma"/>
            <family val="2"/>
          </rPr>
          <t xml:space="preserve">
</t>
        </r>
      </text>
    </comment>
    <comment ref="H4" authorId="0" shapeId="0">
      <text>
        <r>
          <rPr>
            <b/>
            <sz val="9"/>
            <rFont val="Tahoma"/>
            <family val="2"/>
          </rPr>
          <t>CI (kVA) = CI (kW) / FP</t>
        </r>
      </text>
    </comment>
    <comment ref="I4" authorId="0" shapeId="0">
      <text>
        <r>
          <rPr>
            <b/>
            <sz val="9"/>
            <rFont val="Tahoma"/>
            <family val="2"/>
          </rPr>
          <t>FATOR DE DEMANDA</t>
        </r>
      </text>
    </comment>
    <comment ref="J4" authorId="0" shapeId="0">
      <text>
        <r>
          <rPr>
            <b/>
            <sz val="9"/>
            <rFont val="Tahoma"/>
            <family val="2"/>
          </rPr>
          <t>D (kW) = CI (kW) * FD</t>
        </r>
      </text>
    </comment>
    <comment ref="K4" authorId="0" shapeId="0">
      <text>
        <r>
          <rPr>
            <b/>
            <sz val="9"/>
            <rFont val="Tahoma"/>
            <family val="2"/>
          </rPr>
          <t>D (kVA) = CI (kVA) * FD</t>
        </r>
      </text>
    </comment>
  </commentList>
</comments>
</file>

<file path=xl/comments2.xml><?xml version="1.0" encoding="utf-8"?>
<comments xmlns="http://schemas.openxmlformats.org/spreadsheetml/2006/main">
  <authors>
    <author>Gilberto Teixeira Carrera</author>
  </authors>
  <commentList>
    <comment ref="F4" authorId="0" shapeId="0">
      <text>
        <r>
          <rPr>
            <b/>
            <sz val="9"/>
            <rFont val="Tahoma"/>
            <family val="2"/>
          </rPr>
          <t>FATOR DE POTÊNCIA DE REFERÊNCIA</t>
        </r>
      </text>
    </comment>
    <comment ref="F5" authorId="0" shapeId="0">
      <text>
        <r>
          <rPr>
            <b/>
            <sz val="9"/>
            <rFont val="Tahoma"/>
            <family val="2"/>
          </rPr>
          <t xml:space="preserve"> FPmédio = CI Total (kW)/ CI Total (kVA)</t>
        </r>
      </text>
    </comment>
    <comment ref="D15" authorId="0" shapeId="0">
      <text>
        <r>
          <rPr>
            <b/>
            <sz val="9"/>
            <rFont val="Tahoma"/>
            <family val="2"/>
          </rPr>
          <t>VALOR CONFORME TABELA AO LADO</t>
        </r>
      </text>
    </comment>
  </commentList>
</comments>
</file>

<file path=xl/sharedStrings.xml><?xml version="1.0" encoding="utf-8"?>
<sst xmlns="http://schemas.openxmlformats.org/spreadsheetml/2006/main" count="639" uniqueCount="325">
  <si>
    <t>QUADRO DE CARGAS PARA CÁLCULO PRELIMINAR DA CARGA INSTALADA E DA DEMANDA ¹</t>
  </si>
  <si>
    <t>OBS: Preencher somente campos em branco</t>
  </si>
  <si>
    <t>Item</t>
  </si>
  <si>
    <t>Descrição</t>
  </si>
  <si>
    <t>Qtd</t>
  </si>
  <si>
    <t>Potência (kW)</t>
  </si>
  <si>
    <t>Carga Instalada  (kW)</t>
  </si>
  <si>
    <t>FP</t>
  </si>
  <si>
    <t>Carga Instalada (kVA)</t>
  </si>
  <si>
    <t>FD</t>
  </si>
  <si>
    <t>Demanda (kW)</t>
  </si>
  <si>
    <t>Demanda (kVA)</t>
  </si>
  <si>
    <t>TOTAL</t>
  </si>
  <si>
    <t>FATOR DE DEMANDA DA ATIVIDADE</t>
  </si>
  <si>
    <t>FATOR DE POTÊNCIA DE REFERÊNCIA</t>
  </si>
  <si>
    <t xml:space="preserve">FATOR DE POTÊNCIA MÉDIO DA INSTALAÇÃO </t>
  </si>
  <si>
    <t>¹ Os cálculos definitivos devem seguir conforme projeto elétrico realizado por profissional devidamente habilitado.</t>
  </si>
  <si>
    <r>
      <t xml:space="preserve">                  </t>
    </r>
    <r>
      <rPr>
        <b/>
        <sz val="10"/>
        <color theme="3" tint="-0.49995422223578601"/>
        <rFont val="Arial Black"/>
        <family val="2"/>
      </rPr>
      <t xml:space="preserve">                 CÁLCULO E PARÂMETROS PRELIMINARES DE DIMENSIONAMENTO DE SUBESTAÇÃO AEREA ¹</t>
    </r>
  </si>
  <si>
    <t>PARÂMETROS DE ENTRADA</t>
  </si>
  <si>
    <t>I - DADOS DO CLIENTE</t>
  </si>
  <si>
    <t>Nome Cliente</t>
  </si>
  <si>
    <t xml:space="preserve">Endereço </t>
  </si>
  <si>
    <t>380/220</t>
  </si>
  <si>
    <t>220/127</t>
  </si>
  <si>
    <t xml:space="preserve">Contatos </t>
  </si>
  <si>
    <t>Especifique as tensões primárias e secundárias</t>
  </si>
  <si>
    <t>Tensão Primária</t>
  </si>
  <si>
    <t>kV</t>
  </si>
  <si>
    <t>Tensão Secundário</t>
  </si>
  <si>
    <t>V</t>
  </si>
  <si>
    <t>Carga Instalada</t>
  </si>
  <si>
    <t>Preencha o Quadro de Cargas com seus respectivos valores na aba "QUADRO DE CARGAS"</t>
  </si>
  <si>
    <t>Demanda</t>
  </si>
  <si>
    <t>Tipo do Eletroduto</t>
  </si>
  <si>
    <t>AÇO GALVANIZADO</t>
  </si>
  <si>
    <t>Tabela 25 - NT.002</t>
  </si>
  <si>
    <t>II - CORREÇÃO DE EXCEDENTE REATIVO - CÁLCULO DE CAPACITOR</t>
  </si>
  <si>
    <t>Fator de Potência Médio</t>
  </si>
  <si>
    <t>Fator de Potência Referência</t>
  </si>
  <si>
    <t>Potência reativa do (s) Banco (s) de Capacitor (es) para correção do fator de potência</t>
  </si>
  <si>
    <t>kVAr</t>
  </si>
  <si>
    <t>Tabela 4 - NT.002</t>
  </si>
  <si>
    <t>III - CÁLCULO DO TRANSFORMADOR</t>
  </si>
  <si>
    <t>Transformador Recomendado</t>
  </si>
  <si>
    <t>POSTE (m)</t>
  </si>
  <si>
    <t>ESFORÇO (daN)</t>
  </si>
  <si>
    <t>Potência Mínima do Banco de Capacitores (kVAr) quando o transformador está operando a vazio ou com carga muito baixa</t>
  </si>
  <si>
    <t/>
  </si>
  <si>
    <t>NOTA: Deve ser projetado e dimensionado bancos de capacitores fixos instalados na baixa tensão para compensação do fator de potência quando o transformador está operando a vazio ou carga muito baixa.</t>
  </si>
  <si>
    <t>IV - CÁLCULO DO ELO FUSÍVEL</t>
  </si>
  <si>
    <t>Elo fusível recomendado para Transformador</t>
  </si>
  <si>
    <t>Elo fusível recomendado para Ponto de derivação</t>
  </si>
  <si>
    <t>NOTA: Não será utilizada chave fusível em transformador particular, salvo nas situações em que o ponto de derivação fique a uma distância superior a 30 m do ponto de entrega. A chave fusível é obrigatória em subestações localizadas em áreas classificadas como rurais.</t>
  </si>
  <si>
    <t>V - DIMENSIONAMENTO DOS CIRCUITOS SECUNDÁRIO</t>
  </si>
  <si>
    <t>Corrente Secundária (A)</t>
  </si>
  <si>
    <t>A</t>
  </si>
  <si>
    <t>Disjuntor</t>
  </si>
  <si>
    <t>Cabos de cobre com isolação termofixa (XLPE) 0,6/1kV (mm²)</t>
  </si>
  <si>
    <t>Eletroduto de Aço Galvanizado com Diâmetro nominal mm (pol)</t>
  </si>
  <si>
    <t>Condutor de Aterramento</t>
  </si>
  <si>
    <t>Cobre (mm²)</t>
  </si>
  <si>
    <t>Aço Cobreado (AWG)</t>
  </si>
  <si>
    <t>Tabela 3 - NT.31.002.06</t>
  </si>
  <si>
    <t>VI - CÁLCULO DO ELETRODUTO</t>
  </si>
  <si>
    <t>Cabos</t>
  </si>
  <si>
    <t xml:space="preserve">Circuito por Eletroduto </t>
  </si>
  <si>
    <t>Circuitos</t>
  </si>
  <si>
    <t>Num mesmo Eletroduto</t>
  </si>
  <si>
    <t>mm</t>
  </si>
  <si>
    <t xml:space="preserve">                       n</t>
  </si>
  <si>
    <t>Número de cabos no Eletroduto</t>
  </si>
  <si>
    <t xml:space="preserve">                       t</t>
  </si>
  <si>
    <t>Taxa de ocupação do Eletroduto</t>
  </si>
  <si>
    <t>ELETRODUTO(s) DE</t>
  </si>
  <si>
    <t>PROTEÇÃO BT</t>
  </si>
  <si>
    <t>VI - CÁLCULO DO DISJUNTOR - sugestão</t>
  </si>
  <si>
    <t xml:space="preserve">            CORRENTE  </t>
  </si>
  <si>
    <t>DE ACORDO COM A CORRENTE ANTERIORMENTE CALCULADA O MÁXIMO VALOR PARA O DISJUNTOR TERMOMAGNÉTICO</t>
  </si>
  <si>
    <t>SERÁ</t>
  </si>
  <si>
    <r>
      <t>Obs:</t>
    </r>
    <r>
      <rPr>
        <sz val="10"/>
        <rFont val="Arial"/>
        <family val="2"/>
      </rPr>
      <t xml:space="preserve"> Dimensionar o Cabo após o Disjuntor com um valor coerente a ele, de acordo com a </t>
    </r>
    <r>
      <rPr>
        <b/>
        <sz val="10"/>
        <rFont val="Arial"/>
        <family val="2"/>
      </rPr>
      <t>NBR.5410</t>
    </r>
  </si>
  <si>
    <t>DIAGRAMA UNIFILAR</t>
  </si>
  <si>
    <t>VI - DIAGRAMA UNIFILAR DO POSTO DE TRANSFORMAÇÃO</t>
  </si>
  <si>
    <t>3 Pára-Raios MT</t>
  </si>
  <si>
    <t>3 Pára-Raios BT</t>
  </si>
  <si>
    <t>Eletroduto</t>
  </si>
  <si>
    <t>CABOS ISOLADO 0,6/1,0KV - 
XLPE, EPR ou HEPR 90° Proteção Anti-UV</t>
  </si>
  <si>
    <t>(mm²)</t>
  </si>
  <si>
    <t>REDE AÉREA EQUATORIAL</t>
  </si>
  <si>
    <t>KV</t>
  </si>
  <si>
    <t>ESFORÇO MÍNIMO (daN)</t>
  </si>
  <si>
    <t>CABOS ISOLADO 0,6/1,0KV - XLPE 90° PROTEÇÃO ANTI-UV</t>
  </si>
  <si>
    <t>CABOS ISOLADO 0,6/1,0KV - EPR 90° PROTEÇÃO ANTI-UV</t>
  </si>
  <si>
    <t>DOTD - Serviços da Distribuição Sudeste</t>
  </si>
  <si>
    <t>CABOS ISOLADO 0,6/1,0KV - HEPR 90° PROTEÇÃO ANTI-UV</t>
  </si>
  <si>
    <t>DODD - Serviços da Distribuição Nordeste</t>
  </si>
  <si>
    <t>DOLD - Serviços da Distribuição Noroeste</t>
  </si>
  <si>
    <t>DOBD - Serviços da Distribuição Baixada</t>
  </si>
  <si>
    <t>DOSD - Serviços da Distribuição Oeste</t>
  </si>
  <si>
    <t>DUTO</t>
  </si>
  <si>
    <t>tensão</t>
  </si>
  <si>
    <t>tensão (elos)</t>
  </si>
  <si>
    <t>taxa</t>
  </si>
  <si>
    <t>CORRÇÃO DE FP</t>
  </si>
  <si>
    <t>PVC RÍGIDO</t>
  </si>
  <si>
    <t>BANCO</t>
  </si>
  <si>
    <t>MÓDULO</t>
  </si>
  <si>
    <t>Cabos / Fase</t>
  </si>
  <si>
    <t>FATOR Y</t>
  </si>
  <si>
    <t>FATOR X</t>
  </si>
  <si>
    <t>CONDUTORES - TENSÃO DE ISOLAMENTO 450/750V - PVC 70°C</t>
  </si>
  <si>
    <t>Tabela C - Dimensionamento da capacidade do TF</t>
  </si>
  <si>
    <t>Transformador (kVA)</t>
  </si>
  <si>
    <t>Demanda a ser contratada (kW)</t>
  </si>
  <si>
    <t>Mínima</t>
  </si>
  <si>
    <t>Máxima</t>
  </si>
  <si>
    <t>Tabela D - Esforço e altura (poste duplo T)</t>
  </si>
  <si>
    <t>Poste Duplo T a ser utilizado</t>
  </si>
  <si>
    <t>Esforço (daN)</t>
  </si>
  <si>
    <t>Altura (m)</t>
  </si>
  <si>
    <t>Até 75</t>
  </si>
  <si>
    <t>300daN / 11m</t>
  </si>
  <si>
    <t>600daN / 11m</t>
  </si>
  <si>
    <t>800daN / 11m</t>
  </si>
  <si>
    <t>1.000daN / 11m</t>
  </si>
  <si>
    <t>Tabela F - BC fixo na baixa</t>
  </si>
  <si>
    <t>Potência Mínima do Banco de Capacitores (kVAr)</t>
  </si>
  <si>
    <t>TENSÃO MT</t>
  </si>
  <si>
    <t>TENSÃO BT</t>
  </si>
  <si>
    <t>METODOLOGIAS PARA CÁLCULO DA DEMANDA CONFORME NT.002:</t>
  </si>
  <si>
    <t>Demanda Calculada (kVA)</t>
  </si>
  <si>
    <t>Transformador Recomendado (kVA)</t>
  </si>
  <si>
    <t>60 a 82</t>
  </si>
  <si>
    <t>METODOLOGIA UTILIZADA</t>
  </si>
  <si>
    <t>83 a 124</t>
  </si>
  <si>
    <t>125 a 165</t>
  </si>
  <si>
    <t>D = Da + Db + Dc + Dd + De = D(kVA) Total da Planilha acima</t>
  </si>
  <si>
    <t>166 a 248</t>
  </si>
  <si>
    <t>249 a 330</t>
  </si>
  <si>
    <t>D (kVA)</t>
  </si>
  <si>
    <t xml:space="preserve">TRANSFORMADOR: </t>
  </si>
  <si>
    <t>kVA</t>
  </si>
  <si>
    <t>METODOLOGIA PARA CORREÇÃO DO FATOR DE POTÊNCIA CONFORME NT.002:</t>
  </si>
  <si>
    <t>QC (kVAr) = Q1 - Q2 = P (kW) * Δ tg φ = kW * [ tg (φ1) - tg (φ2) ] = kW * { tg [acos (FP1)] - tg [acos (FP2)] }</t>
  </si>
  <si>
    <t>CI (kW)</t>
  </si>
  <si>
    <t>D (kW)</t>
  </si>
  <si>
    <r>
      <rPr>
        <sz val="10"/>
        <color indexed="8"/>
        <rFont val="Calibri"/>
        <family val="2"/>
      </rPr>
      <t xml:space="preserve">Δ </t>
    </r>
    <r>
      <rPr>
        <sz val="10"/>
        <color indexed="8"/>
        <rFont val="Arial"/>
        <family val="2"/>
      </rPr>
      <t>tg φ</t>
    </r>
  </si>
  <si>
    <t>QC</t>
  </si>
  <si>
    <t>Pela carga instalada</t>
  </si>
  <si>
    <t xml:space="preserve">TABELA 2 – DIMENSIONAMENTO DE ELOS FUSÍVEIS </t>
  </si>
  <si>
    <t>Transformadores Monofásicos</t>
  </si>
  <si>
    <t>Potência (kVA)</t>
  </si>
  <si>
    <t>0,5H</t>
  </si>
  <si>
    <t>1H</t>
  </si>
  <si>
    <t>2H</t>
  </si>
  <si>
    <t>3H</t>
  </si>
  <si>
    <t>Transformadores Trifásicos</t>
  </si>
  <si>
    <t>13,8 kV</t>
  </si>
  <si>
    <t>34,5 kV</t>
  </si>
  <si>
    <t>13,8 kV para ramal</t>
  </si>
  <si>
    <t>23,1 KV</t>
  </si>
  <si>
    <t>Até 15</t>
  </si>
  <si>
    <t xml:space="preserve">      -  </t>
  </si>
  <si>
    <t xml:space="preserve">      -</t>
  </si>
  <si>
    <t>5H</t>
  </si>
  <si>
    <t>10K</t>
  </si>
  <si>
    <t>6K</t>
  </si>
  <si>
    <t>15K</t>
  </si>
  <si>
    <t>25K</t>
  </si>
  <si>
    <t>12K</t>
  </si>
  <si>
    <t>40K</t>
  </si>
  <si>
    <t>30K</t>
  </si>
  <si>
    <t>65K</t>
  </si>
  <si>
    <t>100K</t>
  </si>
  <si>
    <t>50K</t>
  </si>
  <si>
    <t>TABELA 3 – DIMENSIONAMENTO DOS CIRCUITOS DE BAIXA TENSÃO – CEMAR</t>
  </si>
  <si>
    <t>TABELA 3A – DIMENSIONAMENTO DOS CIRCUITOS DE BAIXA TENSÃO – CELPA</t>
  </si>
  <si>
    <t>Tensão (V)</t>
  </si>
  <si>
    <t>Cabos de cobre com isolação termofixa (XLPE) 0,6/1kV</t>
  </si>
  <si>
    <t>Eletroduto de Aço Diâmetro nominal</t>
  </si>
  <si>
    <t>Cabos de Cobre com isolação termofixa (XLPE) 0,6/1kV (mm²)</t>
  </si>
  <si>
    <t xml:space="preserve">Eletroduto de Aço Diâmetro nominal </t>
  </si>
  <si>
    <t>Aterramento</t>
  </si>
  <si>
    <r>
      <t>(mm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)</t>
    </r>
  </si>
  <si>
    <t>mm (pol)</t>
  </si>
  <si>
    <t>Cobre</t>
  </si>
  <si>
    <t>Aço-cobreado</t>
  </si>
  <si>
    <r>
      <t>(mm</t>
    </r>
    <r>
      <rPr>
        <b/>
        <vertAlign val="superscript"/>
        <sz val="10"/>
        <color indexed="8"/>
        <rFont val="Arial"/>
        <family val="2"/>
      </rPr>
      <t>2</t>
    </r>
    <r>
      <rPr>
        <b/>
        <sz val="10"/>
        <color indexed="8"/>
        <rFont val="Arial"/>
        <family val="2"/>
      </rPr>
      <t>)</t>
    </r>
  </si>
  <si>
    <t>(AWG)</t>
  </si>
  <si>
    <t>Aço-cobreado (AWG)</t>
  </si>
  <si>
    <t>1#6 (6)</t>
  </si>
  <si>
    <t>20 (3/4")</t>
  </si>
  <si>
    <t>1#16 (16)</t>
  </si>
  <si>
    <t>25 (1")</t>
  </si>
  <si>
    <t>1#10 (10)</t>
  </si>
  <si>
    <t>1#25 (25)</t>
  </si>
  <si>
    <t>32 (1 ¼")</t>
  </si>
  <si>
    <t>1#70 (35)</t>
  </si>
  <si>
    <t>40 ( 1 1/2")</t>
  </si>
  <si>
    <t>Potência</t>
  </si>
  <si>
    <t>Tensão</t>
  </si>
  <si>
    <t>Disjuntor (A)</t>
  </si>
  <si>
    <t>Cabos de cobre com isolação termofixa</t>
  </si>
  <si>
    <t xml:space="preserve">Eletroduto de Aço Diâmetro nominal  </t>
  </si>
  <si>
    <t>(kVA)</t>
  </si>
  <si>
    <t>(V)</t>
  </si>
  <si>
    <t>(XLPE) 0,6/1kV</t>
  </si>
  <si>
    <t>3#16 (16)</t>
  </si>
  <si>
    <t>50 (2")</t>
  </si>
  <si>
    <t>3#10 (10)</t>
  </si>
  <si>
    <t>3#35 (25)</t>
  </si>
  <si>
    <t>40 (1 ½ ")</t>
  </si>
  <si>
    <t>3#70 (35)</t>
  </si>
  <si>
    <t>65 (2 ½”)</t>
  </si>
  <si>
    <t>80 (3”)</t>
  </si>
  <si>
    <t>65 (2 ½)"</t>
  </si>
  <si>
    <t>1/0</t>
  </si>
  <si>
    <t>3#95 (50)</t>
  </si>
  <si>
    <t>3#150 (70)</t>
  </si>
  <si>
    <t>80 (3")</t>
  </si>
  <si>
    <t>Dimensionamento de Transformadores Particulares</t>
  </si>
  <si>
    <t>Demanda calculada KVA</t>
  </si>
  <si>
    <t>Trafo Recomendado</t>
  </si>
  <si>
    <t>DE</t>
  </si>
  <si>
    <t>ATÉ</t>
  </si>
  <si>
    <t>POTÊNCIA</t>
  </si>
  <si>
    <t>Alterar Apenas os Campos Destacados</t>
  </si>
  <si>
    <t>Espaço para inserir o Trafo verde</t>
  </si>
  <si>
    <t xml:space="preserve"> (medição em média Tensão)</t>
  </si>
  <si>
    <t>Materiais e Equipamentos para Instalações classe de Tensão 15 kV</t>
  </si>
  <si>
    <t>Zona de Corrosão</t>
  </si>
  <si>
    <t>Baixa ou Média</t>
  </si>
  <si>
    <t>Alta ou Muito Alta</t>
  </si>
  <si>
    <t>Chave Fusível Unipolar (uso exterior)</t>
  </si>
  <si>
    <t>Classe de Tensão</t>
  </si>
  <si>
    <t>15 kV</t>
  </si>
  <si>
    <t>15 kV com isolador espaçador</t>
  </si>
  <si>
    <t>Corrente Nominal</t>
  </si>
  <si>
    <t>300 A</t>
  </si>
  <si>
    <t>Capacidade de Ruptura Simétrica</t>
  </si>
  <si>
    <t>10 kA</t>
  </si>
  <si>
    <t>Tipo de Base</t>
  </si>
  <si>
    <t>Tipo C</t>
  </si>
  <si>
    <t>Nível Básico de Isolamento (NBI)</t>
  </si>
  <si>
    <t>95 kV</t>
  </si>
  <si>
    <t>Chave Seccionadora Unipolar (uso exterior)</t>
  </si>
  <si>
    <t>630 A</t>
  </si>
  <si>
    <t>Corrente Suportável - Valor de Crista</t>
  </si>
  <si>
    <t>16 kA</t>
  </si>
  <si>
    <t>110 kV</t>
  </si>
  <si>
    <t>Chave Seccionadora Tripolar (uso interior)</t>
  </si>
  <si>
    <t>Corrente Nominal Mínima</t>
  </si>
  <si>
    <t>Chave Seccionadora Fusível Tripolar (uso interior)</t>
  </si>
  <si>
    <t>100 A</t>
  </si>
  <si>
    <t>Disjuntor de Média Tensão</t>
  </si>
  <si>
    <t>Capacidade de Ruptura mínima</t>
  </si>
  <si>
    <t>350 MVA</t>
  </si>
  <si>
    <t>Para-raios</t>
  </si>
  <si>
    <t>12 kV</t>
  </si>
  <si>
    <t>Capacidade Mínima de Ruptura</t>
  </si>
  <si>
    <t>Condutores Nus do Ramal de Ligação</t>
  </si>
  <si>
    <t>Cobre ou Alumínio</t>
  </si>
  <si>
    <t>Seção mínima</t>
  </si>
  <si>
    <r>
      <t xml:space="preserve">TABELA 1 – RAMAL DE ENTRADA AÉREO EM CLASSE DE TENSÃO PRIMÁRIA DE DISTRIBUIÇÃO 15 E 36,2 </t>
    </r>
    <r>
      <rPr>
        <i/>
        <sz val="10"/>
        <color indexed="8"/>
        <rFont val="Arial"/>
        <family val="2"/>
      </rPr>
      <t>kV</t>
    </r>
  </si>
  <si>
    <t>Condutores Isolados</t>
  </si>
  <si>
    <t>Isolação Mínima</t>
  </si>
  <si>
    <t>8,7 / 15 kV</t>
  </si>
  <si>
    <t>Seção (mínimo 25 mm²)</t>
  </si>
  <si>
    <t>Conforme Potência Instalada</t>
  </si>
  <si>
    <t>Isoladores de Disco (cadeia)</t>
  </si>
  <si>
    <t>Com 2 isoladores</t>
  </si>
  <si>
    <t>Com 3 isoladores</t>
  </si>
  <si>
    <t xml:space="preserve">Isolador de Pino </t>
  </si>
  <si>
    <t>Tipo</t>
  </si>
  <si>
    <t>Hi-Top</t>
  </si>
  <si>
    <t>Pilar</t>
  </si>
  <si>
    <t>Classe de tensão</t>
  </si>
  <si>
    <t>25kV</t>
  </si>
  <si>
    <t>24,2kV</t>
  </si>
  <si>
    <t>Transformador de Distribuição</t>
  </si>
  <si>
    <t>Buchas de Média Tensão</t>
  </si>
  <si>
    <t>24,2 kV</t>
  </si>
  <si>
    <t>Material do Tanque</t>
  </si>
  <si>
    <t>Aço Pintado</t>
  </si>
  <si>
    <t>Aço Pintado para Ambientes com Alta Corrosividade</t>
  </si>
  <si>
    <t>Tensão Primária Nominal</t>
  </si>
  <si>
    <t>Tensão Secundária Nominal</t>
  </si>
  <si>
    <t>380/220 V</t>
  </si>
  <si>
    <t>Tipo de Ligação</t>
  </si>
  <si>
    <t>Triangulo - Estrela (com Neutro acessível)</t>
  </si>
  <si>
    <r>
      <t xml:space="preserve">TAP´s </t>
    </r>
    <r>
      <rPr>
        <sz val="10"/>
        <rFont val="Arial"/>
        <family val="2"/>
      </rPr>
      <t>Primários (Externos)</t>
    </r>
  </si>
  <si>
    <t>13,8 / 13,2 / 12,6 / 12 / 11,4 kV</t>
  </si>
  <si>
    <t>Materiais e Equipamentos para Instalações de classe de Tensão 36,2 kV</t>
  </si>
  <si>
    <t>36,2 kV</t>
  </si>
  <si>
    <r>
      <t xml:space="preserve">36,2 kV </t>
    </r>
    <r>
      <rPr>
        <sz val="10"/>
        <color indexed="8"/>
        <rFont val="Arial"/>
        <family val="2"/>
      </rPr>
      <t>com isolador espaçador</t>
    </r>
  </si>
  <si>
    <t>5 kA</t>
  </si>
  <si>
    <t>150 kV</t>
  </si>
  <si>
    <t>38 kV</t>
  </si>
  <si>
    <t>170 kV</t>
  </si>
  <si>
    <t>30 kV</t>
  </si>
  <si>
    <t>20 / 35 kV</t>
  </si>
  <si>
    <t>Com 4 isoladores</t>
  </si>
  <si>
    <t>Multicorpo</t>
  </si>
  <si>
    <t>34,5kV</t>
  </si>
  <si>
    <t>35kV</t>
  </si>
  <si>
    <t>TAP´s Primários (Externos)</t>
  </si>
  <si>
    <t>36,2 / 35,3 / 34,5 / 33,0 / 31,5 kV</t>
  </si>
  <si>
    <t>Coeficiente para Dimensionamento do Capacitor</t>
  </si>
  <si>
    <t>FP original</t>
  </si>
  <si>
    <t>FP corrigido 0,92</t>
  </si>
  <si>
    <t>3x3#120 (1#150)</t>
  </si>
  <si>
    <t>3x100 (4")</t>
  </si>
  <si>
    <t>2x3#95(1#95) ou 2x3#150(1#150)</t>
  </si>
  <si>
    <t>2x65 (21/2") ou 2x100 (4")</t>
  </si>
  <si>
    <t>3#240 (120) ou 2x3#70 (50)</t>
  </si>
  <si>
    <t>90 (3 1/2") ou 2x65 (2 1/2")</t>
  </si>
  <si>
    <t>2x3#240 (1#185) ou 2x3#185(1#185)</t>
  </si>
  <si>
    <t>100 (4") ou 2x100 (4")</t>
  </si>
  <si>
    <t>NORMAS UTILIZADAS NA ELABORAÇÃO DESTA PLANILHA DE CÁLCULO NT.00002.EQTL / NBR5410 / NBR14039 - REVISÃO 09 - 24/12/2024</t>
  </si>
  <si>
    <t>8K</t>
  </si>
  <si>
    <t>Tabela 10A - NT.00002</t>
  </si>
  <si>
    <t>Tabelas 11 e 11A - NT.00002</t>
  </si>
  <si>
    <t>Tabela 12 - NT.002</t>
  </si>
  <si>
    <t>23,1 kV Ramal</t>
  </si>
  <si>
    <t>34,5 kV para ramal</t>
  </si>
  <si>
    <t>140K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</si>
</sst>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_-;\-* #,##0.00_-;_-* &quot;-&quot;??_-;_-@_-"/>
    <numFmt numFmtId="164" formatCode="0.0"/>
    <numFmt numFmtId="165" formatCode="0.000000"/>
    <numFmt numFmtId="166" formatCode=";;;"/>
    <numFmt numFmtId="167" formatCode="mm"/>
    <numFmt numFmtId="168" formatCode="0.000"/>
    <numFmt numFmtId="169" formatCode="#,##0.00_ ;\-#,##0.00\ "/>
    <numFmt numFmtId="170" formatCode="_-* #,##0.0000_-;\-* #,##0.0000_-;_-* &quot;-&quot;??_-;_-@_-"/>
  </numFmts>
  <fonts count="78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9"/>
      <name val="Tahoma"/>
      <family val="2"/>
    </font>
    <font>
      <b/>
      <sz val="9"/>
      <name val="Tahoma"/>
      <family val="2"/>
    </font>
    <font>
      <sz val="10"/>
      <color indexed="8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u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6"/>
      <name val="Arial"/>
      <family val="2"/>
    </font>
    <font>
      <sz val="6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2"/>
      <color indexed="9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b/>
      <sz val="12"/>
      <color indexed="18"/>
      <name val="Arial"/>
      <family val="2"/>
    </font>
    <font>
      <b/>
      <sz val="15"/>
      <name val="Arial"/>
      <family val="2"/>
    </font>
    <font>
      <b/>
      <sz val="9.5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5"/>
      <color indexed="18"/>
      <name val="Arial"/>
      <family val="2"/>
    </font>
    <font>
      <sz val="15"/>
      <color indexed="18"/>
      <name val="Arial"/>
      <family val="2"/>
    </font>
    <font>
      <sz val="15"/>
      <name val="Arial"/>
      <family val="2"/>
    </font>
    <font>
      <b/>
      <sz val="10"/>
      <color indexed="10"/>
      <name val="Arial"/>
      <family val="2"/>
    </font>
    <font>
      <sz val="9"/>
      <name val="Calibri"/>
      <family val="2"/>
    </font>
    <font>
      <sz val="10"/>
      <name val="C14"/>
      <family val="2"/>
    </font>
    <font>
      <sz val="10"/>
      <color indexed="9"/>
      <name val="Arial"/>
      <family val="2"/>
    </font>
    <font>
      <b/>
      <sz val="11"/>
      <name val="Arial"/>
      <family val="2"/>
    </font>
    <font>
      <b/>
      <sz val="10"/>
      <color indexed="8"/>
      <name val="Arial"/>
      <family val="2"/>
    </font>
    <font>
      <sz val="10"/>
      <name val="Times New Roman"/>
      <family val="1"/>
    </font>
    <font>
      <b/>
      <vertAlign val="superscript"/>
      <sz val="10"/>
      <name val="Arial"/>
      <family val="2"/>
    </font>
    <font>
      <b/>
      <vertAlign val="superscript"/>
      <sz val="10"/>
      <color indexed="8"/>
      <name val="Arial"/>
      <family val="2"/>
    </font>
    <font>
      <i/>
      <sz val="10"/>
      <name val="Arial"/>
      <family val="2"/>
    </font>
    <font>
      <i/>
      <sz val="10"/>
      <color indexed="8"/>
      <name val="Arial"/>
      <family val="2"/>
    </font>
    <font>
      <sz val="14"/>
      <color indexed="18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3"/>
      <name val="Arial"/>
      <family val="2"/>
    </font>
    <font>
      <b/>
      <sz val="10"/>
      <color theme="3" tint="-0.2499465926084170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0"/>
      <color theme="4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theme="2" tint="-0.24994659260841701"/>
      <name val="Arial"/>
      <family val="2"/>
    </font>
    <font>
      <b/>
      <sz val="11"/>
      <color theme="2" tint="-0.24994659260841701"/>
      <name val="Arial"/>
      <family val="2"/>
    </font>
    <font>
      <sz val="10"/>
      <color theme="3"/>
      <name val="Arial"/>
      <family val="2"/>
    </font>
    <font>
      <b/>
      <sz val="11"/>
      <color theme="1"/>
      <name val="Arial"/>
      <family val="2"/>
    </font>
    <font>
      <b/>
      <sz val="9"/>
      <color theme="3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18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sz val="10"/>
      <color theme="0"/>
      <name val="Arial"/>
      <family val="2"/>
    </font>
    <font>
      <b/>
      <i/>
      <sz val="10"/>
      <color theme="3"/>
      <name val="Arial"/>
      <family val="2"/>
    </font>
    <font>
      <b/>
      <sz val="10"/>
      <color theme="3" tint="-0.49995422223578601"/>
      <name val="Arial"/>
      <family val="2"/>
    </font>
    <font>
      <b/>
      <sz val="9"/>
      <color theme="5" tint="-0.49995422223578601"/>
      <name val="Arial"/>
      <family val="2"/>
    </font>
    <font>
      <b/>
      <sz val="8"/>
      <color theme="0"/>
      <name val="Arial"/>
      <family val="2"/>
    </font>
    <font>
      <b/>
      <sz val="11"/>
      <color theme="1" tint="0.34998626667073579"/>
      <name val="Arial"/>
      <family val="2"/>
    </font>
    <font>
      <b/>
      <sz val="10"/>
      <color theme="3" tint="-0.49995422223578601"/>
      <name val="Arial Black"/>
      <family val="2"/>
    </font>
    <font>
      <b/>
      <i/>
      <sz val="11"/>
      <color rgb="FF002060"/>
      <name val="Arial"/>
      <family val="2"/>
    </font>
    <font>
      <b/>
      <sz val="12"/>
      <color rgb="FF002060"/>
      <name val="Arial"/>
      <family val="2"/>
    </font>
    <font>
      <b/>
      <sz val="10"/>
      <color rgb="FF002060"/>
      <name val="Arial"/>
      <family val="2"/>
    </font>
    <font>
      <b/>
      <sz val="11"/>
      <color rgb="FF002060"/>
      <name val="Arial"/>
      <family val="2"/>
    </font>
    <font>
      <sz val="11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indexed="50"/>
        <bgColor indexed="64"/>
      </patternFill>
    </fill>
  </fills>
  <borders count="9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rgb="FF000000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auto="1"/>
      </bottom>
      <diagonal/>
    </border>
    <border>
      <left/>
      <right style="medium">
        <color rgb="FF000000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medium">
        <color theme="3" tint="-0.49995422223578601"/>
      </left>
      <right/>
      <top style="medium">
        <color theme="3" tint="-0.49995422223578601"/>
      </top>
      <bottom/>
      <diagonal/>
    </border>
    <border>
      <left/>
      <right/>
      <top style="medium">
        <color theme="3" tint="-0.49995422223578601"/>
      </top>
      <bottom/>
      <diagonal/>
    </border>
    <border>
      <left/>
      <right style="medium">
        <color theme="3" tint="-0.49995422223578601"/>
      </right>
      <top style="medium">
        <color theme="3" tint="-0.49995422223578601"/>
      </top>
      <bottom/>
      <diagonal/>
    </border>
    <border>
      <left/>
      <right style="medium">
        <color theme="3" tint="-0.49995422223578601"/>
      </right>
      <top/>
      <bottom/>
      <diagonal/>
    </border>
    <border>
      <left style="medium">
        <color theme="3" tint="-0.4999542222357860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theme="3" tint="-0.49995422223578601"/>
      </right>
      <top style="thin">
        <color auto="1"/>
      </top>
      <bottom style="thin">
        <color auto="1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 style="medium">
        <color theme="3" tint="-0.49995422223578601"/>
      </left>
      <right/>
      <top/>
      <bottom style="medium">
        <color theme="3" tint="-0.49995422223578601"/>
      </bottom>
      <diagonal/>
    </border>
    <border>
      <left/>
      <right/>
      <top/>
      <bottom style="medium">
        <color theme="3" tint="-0.49995422223578601"/>
      </bottom>
      <diagonal/>
    </border>
    <border>
      <left/>
      <right style="medium">
        <color theme="3" tint="-0.49995422223578601"/>
      </right>
      <top/>
      <bottom style="medium">
        <color theme="3" tint="-0.49995422223578601"/>
      </bottom>
      <diagonal/>
    </border>
    <border>
      <left style="medium">
        <color theme="3" tint="-0.49995422223578601"/>
      </left>
      <right/>
      <top style="medium">
        <color theme="1"/>
      </top>
      <bottom style="thin">
        <color auto="1"/>
      </bottom>
      <diagonal/>
    </border>
    <border>
      <left/>
      <right/>
      <top style="medium">
        <color theme="1"/>
      </top>
      <bottom style="thin">
        <color auto="1"/>
      </bottom>
      <diagonal/>
    </border>
    <border>
      <left/>
      <right style="medium">
        <color theme="3" tint="-0.49995422223578601"/>
      </right>
      <top style="medium">
        <color theme="1"/>
      </top>
      <bottom style="thin">
        <color auto="1"/>
      </bottom>
      <diagonal/>
    </border>
    <border>
      <left style="medium">
        <color theme="3" tint="-0.4999542222357860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/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/>
      <right style="medium">
        <color rgb="FF000000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theme="3" tint="-0.4999542222357860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6" fillId="0" borderId="0"/>
    <xf numFmtId="0" fontId="77" fillId="0" borderId="0"/>
    <xf numFmtId="43" fontId="77" fillId="0" borderId="0" applyFont="0" applyFill="0" applyBorder="0" applyAlignment="0" applyProtection="0"/>
    <xf numFmtId="0" fontId="60" fillId="0" borderId="0" applyNumberFormat="0" applyFill="0" applyBorder="0" applyAlignment="0" applyProtection="0"/>
  </cellStyleXfs>
  <cellXfs count="567">
    <xf numFmtId="0" fontId="0" fillId="0" borderId="0" xfId="0"/>
    <xf numFmtId="43" fontId="42" fillId="2" borderId="1" xfId="3" applyFont="1" applyFill="1" applyBorder="1" applyAlignment="1" applyProtection="1">
      <alignment horizontal="center" vertical="center" wrapText="1"/>
      <protection hidden="1"/>
    </xf>
    <xf numFmtId="2" fontId="4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43" fillId="4" borderId="0" xfId="0" applyNumberFormat="1" applyFont="1" applyFill="1" applyAlignment="1" applyProtection="1">
      <alignment horizontal="center" vertical="center" wrapText="1"/>
      <protection hidden="1"/>
    </xf>
    <xf numFmtId="2" fontId="1" fillId="2" borderId="0" xfId="0" applyNumberFormat="1" applyFont="1" applyFill="1" applyAlignment="1" applyProtection="1">
      <alignment horizontal="left" vertical="center"/>
      <protection hidden="1"/>
    </xf>
    <xf numFmtId="165" fontId="1" fillId="2" borderId="0" xfId="0" applyNumberFormat="1" applyFont="1" applyFill="1" applyAlignment="1" applyProtection="1">
      <alignment horizontal="left" vertical="center"/>
      <protection hidden="1"/>
    </xf>
    <xf numFmtId="2" fontId="43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4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2" fontId="42" fillId="5" borderId="3" xfId="0" applyNumberFormat="1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2" fontId="1" fillId="5" borderId="0" xfId="0" applyNumberFormat="1" applyFont="1" applyFill="1" applyAlignment="1">
      <alignment horizontal="center" vertical="center" wrapText="1"/>
    </xf>
    <xf numFmtId="2" fontId="42" fillId="5" borderId="0" xfId="0" applyNumberFormat="1" applyFont="1" applyFill="1" applyAlignment="1">
      <alignment horizontal="center" vertical="center" wrapText="1"/>
    </xf>
    <xf numFmtId="2" fontId="42" fillId="0" borderId="3" xfId="0" applyNumberFormat="1" applyFont="1" applyBorder="1" applyAlignment="1">
      <alignment horizontal="center" vertical="center" wrapText="1"/>
    </xf>
    <xf numFmtId="0" fontId="42" fillId="6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42" fillId="0" borderId="0" xfId="0" applyFont="1" applyAlignment="1">
      <alignment horizontal="left" vertical="center" wrapText="1"/>
    </xf>
    <xf numFmtId="0" fontId="42" fillId="0" borderId="0" xfId="0" applyFont="1" applyAlignment="1">
      <alignment horizontal="center" vertical="center" wrapText="1"/>
    </xf>
    <xf numFmtId="164" fontId="42" fillId="0" borderId="0" xfId="0" applyNumberFormat="1" applyFont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2" fillId="3" borderId="6" xfId="0" applyFont="1" applyFill="1" applyBorder="1" applyAlignment="1">
      <alignment horizontal="left" vertical="center" wrapText="1"/>
    </xf>
    <xf numFmtId="0" fontId="42" fillId="3" borderId="3" xfId="0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1" applyAlignment="1" applyProtection="1">
      <alignment horizontal="left" vertical="center"/>
      <protection hidden="1"/>
    </xf>
    <xf numFmtId="0" fontId="7" fillId="0" borderId="7" xfId="1" applyFont="1" applyBorder="1" applyAlignment="1" applyProtection="1">
      <alignment vertical="center"/>
      <protection hidden="1"/>
    </xf>
    <xf numFmtId="0" fontId="6" fillId="0" borderId="8" xfId="1" applyBorder="1" applyAlignment="1" applyProtection="1">
      <alignment vertical="center"/>
      <protection hidden="1"/>
    </xf>
    <xf numFmtId="0" fontId="6" fillId="0" borderId="9" xfId="1" applyBorder="1" applyAlignment="1" applyProtection="1">
      <alignment vertical="center"/>
      <protection hidden="1"/>
    </xf>
    <xf numFmtId="0" fontId="6" fillId="0" borderId="0" xfId="1" applyAlignment="1" applyProtection="1">
      <alignment vertical="center"/>
      <protection hidden="1"/>
    </xf>
    <xf numFmtId="0" fontId="9" fillId="0" borderId="0" xfId="1" applyFont="1" applyAlignment="1" applyProtection="1">
      <alignment vertical="center"/>
      <protection hidden="1"/>
    </xf>
    <xf numFmtId="0" fontId="6" fillId="0" borderId="10" xfId="1" applyBorder="1" applyAlignment="1" applyProtection="1">
      <alignment vertical="center"/>
      <protection hidden="1"/>
    </xf>
    <xf numFmtId="0" fontId="46" fillId="5" borderId="0" xfId="1" applyFont="1" applyFill="1" applyAlignment="1">
      <alignment horizontal="left" vertical="center" shrinkToFit="1"/>
    </xf>
    <xf numFmtId="0" fontId="1" fillId="5" borderId="0" xfId="1" applyFont="1" applyFill="1" applyAlignment="1" applyProtection="1">
      <alignment vertical="center"/>
      <protection hidden="1"/>
    </xf>
    <xf numFmtId="0" fontId="1" fillId="5" borderId="10" xfId="1" applyFont="1" applyFill="1" applyBorder="1" applyAlignment="1" applyProtection="1">
      <alignment vertical="center"/>
      <protection hidden="1"/>
    </xf>
    <xf numFmtId="0" fontId="10" fillId="0" borderId="9" xfId="1" applyFont="1" applyBorder="1" applyAlignment="1" applyProtection="1">
      <alignment vertical="center"/>
      <protection hidden="1"/>
    </xf>
    <xf numFmtId="0" fontId="46" fillId="5" borderId="10" xfId="1" applyFont="1" applyFill="1" applyBorder="1" applyAlignment="1">
      <alignment horizontal="left" vertical="center" shrinkToFit="1"/>
    </xf>
    <xf numFmtId="0" fontId="7" fillId="0" borderId="8" xfId="1" applyFont="1" applyBorder="1" applyAlignment="1" applyProtection="1">
      <alignment vertical="center"/>
      <protection hidden="1"/>
    </xf>
    <xf numFmtId="0" fontId="7" fillId="0" borderId="11" xfId="1" applyFont="1" applyBorder="1" applyAlignment="1" applyProtection="1">
      <alignment vertical="center"/>
      <protection hidden="1"/>
    </xf>
    <xf numFmtId="0" fontId="14" fillId="0" borderId="0" xfId="1" applyFont="1" applyAlignment="1" applyProtection="1">
      <alignment horizontal="center" vertical="center"/>
      <protection hidden="1"/>
    </xf>
    <xf numFmtId="0" fontId="14" fillId="0" borderId="0" xfId="1" applyFont="1" applyAlignment="1" applyProtection="1">
      <alignment horizontal="center" vertical="center" shrinkToFit="1"/>
      <protection hidden="1"/>
    </xf>
    <xf numFmtId="0" fontId="14" fillId="0" borderId="9" xfId="1" applyFont="1" applyBorder="1" applyAlignment="1" applyProtection="1">
      <alignment horizontal="left" vertical="center"/>
      <protection hidden="1"/>
    </xf>
    <xf numFmtId="0" fontId="6" fillId="0" borderId="0" xfId="1" applyProtection="1">
      <protection hidden="1"/>
    </xf>
    <xf numFmtId="0" fontId="6" fillId="0" borderId="0" xfId="1" applyAlignment="1" applyProtection="1">
      <alignment horizontal="right" vertical="center"/>
      <protection hidden="1"/>
    </xf>
    <xf numFmtId="0" fontId="6" fillId="0" borderId="0" xfId="1" applyAlignment="1" applyProtection="1">
      <alignment horizontal="center" vertical="center"/>
      <protection hidden="1"/>
    </xf>
    <xf numFmtId="0" fontId="12" fillId="0" borderId="0" xfId="1" applyFont="1" applyAlignment="1" applyProtection="1">
      <alignment horizontal="center" vertical="center"/>
      <protection hidden="1"/>
    </xf>
    <xf numFmtId="0" fontId="15" fillId="0" borderId="0" xfId="1" applyFont="1" applyAlignment="1" applyProtection="1">
      <alignment horizontal="left" vertical="center"/>
      <protection hidden="1"/>
    </xf>
    <xf numFmtId="0" fontId="11" fillId="0" borderId="0" xfId="1" applyFont="1" applyAlignment="1" applyProtection="1">
      <alignment horizontal="right" vertical="center"/>
      <protection hidden="1"/>
    </xf>
    <xf numFmtId="0" fontId="14" fillId="0" borderId="9" xfId="1" applyFont="1" applyBorder="1" applyAlignment="1" applyProtection="1">
      <alignment horizontal="center" vertical="center"/>
      <protection hidden="1"/>
    </xf>
    <xf numFmtId="0" fontId="14" fillId="0" borderId="10" xfId="1" applyFont="1" applyBorder="1" applyAlignment="1" applyProtection="1">
      <alignment horizontal="center" vertical="center"/>
      <protection hidden="1"/>
    </xf>
    <xf numFmtId="0" fontId="6" fillId="0" borderId="12" xfId="1" applyBorder="1" applyAlignment="1" applyProtection="1">
      <alignment vertical="center"/>
      <protection hidden="1"/>
    </xf>
    <xf numFmtId="0" fontId="18" fillId="0" borderId="0" xfId="1" applyFont="1" applyAlignment="1" applyProtection="1">
      <alignment horizontal="left" vertical="center"/>
      <protection hidden="1"/>
    </xf>
    <xf numFmtId="0" fontId="19" fillId="0" borderId="0" xfId="1" applyFont="1" applyAlignment="1" applyProtection="1">
      <alignment vertical="center"/>
      <protection hidden="1"/>
    </xf>
    <xf numFmtId="0" fontId="6" fillId="0" borderId="13" xfId="1" applyBorder="1" applyAlignment="1" applyProtection="1">
      <alignment vertical="center"/>
      <protection hidden="1"/>
    </xf>
    <xf numFmtId="0" fontId="6" fillId="0" borderId="5" xfId="1" applyBorder="1" applyAlignment="1" applyProtection="1">
      <alignment vertical="center"/>
      <protection hidden="1"/>
    </xf>
    <xf numFmtId="0" fontId="6" fillId="0" borderId="14" xfId="1" applyBorder="1" applyAlignment="1" applyProtection="1">
      <alignment vertical="center"/>
      <protection hidden="1"/>
    </xf>
    <xf numFmtId="0" fontId="14" fillId="0" borderId="10" xfId="1" applyFont="1" applyBorder="1" applyAlignment="1" applyProtection="1">
      <alignment horizontal="left" vertical="center"/>
      <protection hidden="1"/>
    </xf>
    <xf numFmtId="0" fontId="14" fillId="0" borderId="0" xfId="1" applyFont="1" applyAlignment="1" applyProtection="1">
      <alignment horizontal="left" vertical="center"/>
      <protection hidden="1"/>
    </xf>
    <xf numFmtId="0" fontId="20" fillId="0" borderId="9" xfId="1" applyFont="1" applyBorder="1" applyAlignment="1" applyProtection="1">
      <alignment vertical="center" shrinkToFit="1"/>
      <protection hidden="1"/>
    </xf>
    <xf numFmtId="2" fontId="21" fillId="0" borderId="0" xfId="1" applyNumberFormat="1" applyFont="1" applyAlignment="1" applyProtection="1">
      <alignment horizontal="center" vertical="center"/>
      <protection hidden="1"/>
    </xf>
    <xf numFmtId="2" fontId="21" fillId="0" borderId="0" xfId="1" applyNumberFormat="1" applyFont="1" applyAlignment="1" applyProtection="1">
      <alignment horizontal="left" vertical="center"/>
      <protection hidden="1"/>
    </xf>
    <xf numFmtId="2" fontId="22" fillId="0" borderId="0" xfId="1" applyNumberFormat="1" applyFont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0" fontId="6" fillId="0" borderId="9" xfId="1" applyBorder="1"/>
    <xf numFmtId="2" fontId="21" fillId="0" borderId="0" xfId="1" applyNumberFormat="1" applyFont="1" applyAlignment="1" applyProtection="1">
      <alignment horizontal="center" vertical="center" shrinkToFit="1"/>
      <protection hidden="1"/>
    </xf>
    <xf numFmtId="0" fontId="9" fillId="0" borderId="10" xfId="1" applyFont="1" applyBorder="1" applyAlignment="1" applyProtection="1">
      <alignment vertical="center"/>
      <protection hidden="1"/>
    </xf>
    <xf numFmtId="166" fontId="22" fillId="0" borderId="9" xfId="1" applyNumberFormat="1" applyFont="1" applyBorder="1" applyAlignment="1" applyProtection="1">
      <alignment horizontal="center" vertical="center"/>
      <protection hidden="1"/>
    </xf>
    <xf numFmtId="0" fontId="13" fillId="0" borderId="0" xfId="1" applyFont="1" applyAlignment="1" applyProtection="1">
      <alignment horizontal="center" vertical="center"/>
      <protection hidden="1"/>
    </xf>
    <xf numFmtId="0" fontId="13" fillId="0" borderId="0" xfId="1" applyFont="1" applyAlignment="1" applyProtection="1">
      <alignment vertical="center"/>
      <protection hidden="1"/>
    </xf>
    <xf numFmtId="0" fontId="13" fillId="0" borderId="10" xfId="1" applyFont="1" applyBorder="1" applyAlignment="1" applyProtection="1">
      <alignment horizontal="center" vertical="center"/>
      <protection hidden="1"/>
    </xf>
    <xf numFmtId="0" fontId="22" fillId="0" borderId="0" xfId="1" applyFont="1" applyAlignment="1" applyProtection="1">
      <alignment vertical="center"/>
      <protection hidden="1"/>
    </xf>
    <xf numFmtId="0" fontId="21" fillId="0" borderId="0" xfId="1" applyFont="1" applyAlignment="1" applyProtection="1">
      <alignment vertical="center" shrinkToFit="1"/>
      <protection hidden="1"/>
    </xf>
    <xf numFmtId="0" fontId="21" fillId="0" borderId="10" xfId="1" applyFont="1" applyBorder="1" applyAlignment="1" applyProtection="1">
      <alignment horizontal="center" vertical="center" shrinkToFit="1"/>
      <protection hidden="1"/>
    </xf>
    <xf numFmtId="0" fontId="11" fillId="0" borderId="0" xfId="1" applyFont="1" applyAlignment="1" applyProtection="1">
      <alignment vertical="center" shrinkToFit="1"/>
      <protection hidden="1"/>
    </xf>
    <xf numFmtId="0" fontId="21" fillId="0" borderId="10" xfId="1" quotePrefix="1" applyFont="1" applyBorder="1" applyAlignment="1" applyProtection="1">
      <alignment horizontal="center" vertical="center" shrinkToFit="1"/>
      <protection hidden="1"/>
    </xf>
    <xf numFmtId="0" fontId="6" fillId="0" borderId="9" xfId="1" applyBorder="1" applyAlignment="1" applyProtection="1">
      <alignment vertical="center" wrapText="1"/>
      <protection hidden="1"/>
    </xf>
    <xf numFmtId="0" fontId="6" fillId="0" borderId="0" xfId="1" applyAlignment="1" applyProtection="1">
      <alignment vertical="center" wrapText="1"/>
      <protection hidden="1"/>
    </xf>
    <xf numFmtId="0" fontId="21" fillId="0" borderId="0" xfId="1" applyFont="1" applyAlignment="1" applyProtection="1">
      <alignment vertical="center"/>
      <protection hidden="1"/>
    </xf>
    <xf numFmtId="166" fontId="12" fillId="0" borderId="0" xfId="1" applyNumberFormat="1" applyFont="1" applyAlignment="1" applyProtection="1">
      <alignment vertical="center"/>
      <protection hidden="1"/>
    </xf>
    <xf numFmtId="0" fontId="47" fillId="0" borderId="9" xfId="1" applyFont="1" applyBorder="1" applyAlignment="1" applyProtection="1">
      <alignment vertical="center" shrinkToFit="1"/>
      <protection hidden="1"/>
    </xf>
    <xf numFmtId="0" fontId="47" fillId="0" borderId="0" xfId="1" applyFont="1" applyAlignment="1" applyProtection="1">
      <alignment vertical="center" shrinkToFit="1"/>
      <protection hidden="1"/>
    </xf>
    <xf numFmtId="0" fontId="47" fillId="0" borderId="10" xfId="1" applyFont="1" applyBorder="1" applyAlignment="1" applyProtection="1">
      <alignment vertical="center" shrinkToFit="1"/>
      <protection hidden="1"/>
    </xf>
    <xf numFmtId="0" fontId="13" fillId="0" borderId="9" xfId="1" applyFont="1" applyBorder="1" applyAlignment="1" applyProtection="1">
      <alignment vertical="center" wrapText="1"/>
      <protection hidden="1"/>
    </xf>
    <xf numFmtId="0" fontId="13" fillId="0" borderId="0" xfId="1" applyFont="1" applyAlignment="1" applyProtection="1">
      <alignment vertical="center" wrapText="1"/>
      <protection hidden="1"/>
    </xf>
    <xf numFmtId="0" fontId="13" fillId="0" borderId="13" xfId="1" applyFont="1" applyBorder="1" applyAlignment="1" applyProtection="1">
      <alignment vertical="center" wrapText="1"/>
      <protection hidden="1"/>
    </xf>
    <xf numFmtId="0" fontId="13" fillId="0" borderId="5" xfId="1" applyFont="1" applyBorder="1" applyAlignment="1" applyProtection="1">
      <alignment vertical="center" wrapText="1"/>
      <protection hidden="1"/>
    </xf>
    <xf numFmtId="0" fontId="16" fillId="0" borderId="0" xfId="1" applyFont="1" applyAlignment="1" applyProtection="1">
      <alignment vertical="center"/>
      <protection hidden="1"/>
    </xf>
    <xf numFmtId="0" fontId="24" fillId="0" borderId="0" xfId="1" applyFont="1" applyAlignment="1" applyProtection="1">
      <alignment vertical="center" shrinkToFit="1"/>
      <protection hidden="1"/>
    </xf>
    <xf numFmtId="0" fontId="6" fillId="0" borderId="10" xfId="1" applyBorder="1" applyProtection="1">
      <protection hidden="1"/>
    </xf>
    <xf numFmtId="0" fontId="16" fillId="0" borderId="9" xfId="1" applyFont="1" applyBorder="1" applyAlignment="1" applyProtection="1">
      <alignment vertical="center" wrapText="1"/>
      <protection hidden="1"/>
    </xf>
    <xf numFmtId="0" fontId="16" fillId="0" borderId="0" xfId="1" applyFont="1" applyAlignment="1" applyProtection="1">
      <alignment vertical="center" wrapText="1"/>
      <protection hidden="1"/>
    </xf>
    <xf numFmtId="0" fontId="22" fillId="0" borderId="0" xfId="1" applyFont="1" applyAlignment="1" applyProtection="1">
      <alignment horizontal="center" vertical="center" shrinkToFit="1"/>
      <protection hidden="1"/>
    </xf>
    <xf numFmtId="0" fontId="24" fillId="0" borderId="10" xfId="1" applyFont="1" applyBorder="1" applyAlignment="1" applyProtection="1">
      <alignment vertical="center" shrinkToFit="1"/>
      <protection hidden="1"/>
    </xf>
    <xf numFmtId="0" fontId="16" fillId="0" borderId="9" xfId="1" applyFont="1" applyBorder="1" applyAlignment="1" applyProtection="1">
      <alignment vertical="center"/>
      <protection hidden="1"/>
    </xf>
    <xf numFmtId="0" fontId="24" fillId="0" borderId="0" xfId="1" applyFont="1" applyAlignment="1" applyProtection="1">
      <alignment horizontal="center" vertical="center" shrinkToFit="1"/>
      <protection hidden="1"/>
    </xf>
    <xf numFmtId="0" fontId="24" fillId="0" borderId="5" xfId="1" applyFont="1" applyBorder="1" applyAlignment="1" applyProtection="1">
      <alignment vertical="center" shrinkToFit="1"/>
      <protection hidden="1"/>
    </xf>
    <xf numFmtId="0" fontId="24" fillId="0" borderId="14" xfId="1" applyFont="1" applyBorder="1" applyAlignment="1" applyProtection="1">
      <alignment vertical="center" shrinkToFit="1"/>
      <protection hidden="1"/>
    </xf>
    <xf numFmtId="0" fontId="20" fillId="0" borderId="9" xfId="1" applyFont="1" applyBorder="1" applyAlignment="1" applyProtection="1">
      <alignment horizontal="right" vertical="center" shrinkToFit="1"/>
      <protection hidden="1"/>
    </xf>
    <xf numFmtId="0" fontId="6" fillId="0" borderId="9" xfId="1" applyBorder="1" applyAlignment="1" applyProtection="1">
      <alignment horizontal="right" vertical="center"/>
      <protection hidden="1"/>
    </xf>
    <xf numFmtId="0" fontId="47" fillId="0" borderId="0" xfId="1" applyFont="1" applyAlignment="1" applyProtection="1">
      <alignment horizontal="right" vertical="center"/>
      <protection hidden="1"/>
    </xf>
    <xf numFmtId="0" fontId="6" fillId="0" borderId="10" xfId="1" applyBorder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 shrinkToFit="1"/>
      <protection hidden="1"/>
    </xf>
    <xf numFmtId="0" fontId="21" fillId="0" borderId="9" xfId="1" applyFont="1" applyBorder="1" applyAlignment="1" applyProtection="1">
      <alignment horizontal="center" vertical="center" shrinkToFit="1"/>
      <protection hidden="1"/>
    </xf>
    <xf numFmtId="167" fontId="6" fillId="0" borderId="0" xfId="1" applyNumberFormat="1" applyAlignment="1" applyProtection="1">
      <alignment vertical="center"/>
      <protection hidden="1"/>
    </xf>
    <xf numFmtId="0" fontId="6" fillId="0" borderId="12" xfId="1" applyBorder="1" applyAlignment="1" applyProtection="1">
      <alignment horizontal="left" vertical="center"/>
      <protection hidden="1"/>
    </xf>
    <xf numFmtId="0" fontId="6" fillId="0" borderId="1" xfId="1" applyBorder="1" applyAlignment="1" applyProtection="1">
      <alignment horizontal="center" vertical="center"/>
      <protection hidden="1"/>
    </xf>
    <xf numFmtId="0" fontId="6" fillId="0" borderId="1" xfId="1" applyBorder="1" applyAlignment="1" applyProtection="1">
      <alignment vertical="center"/>
      <protection hidden="1"/>
    </xf>
    <xf numFmtId="0" fontId="6" fillId="0" borderId="0" xfId="1" applyAlignment="1" applyProtection="1">
      <alignment horizontal="center" vertical="center" wrapText="1"/>
      <protection hidden="1"/>
    </xf>
    <xf numFmtId="0" fontId="16" fillId="0" borderId="1" xfId="1" applyFont="1" applyBorder="1" applyAlignment="1" applyProtection="1">
      <alignment vertical="center"/>
      <protection hidden="1"/>
    </xf>
    <xf numFmtId="0" fontId="25" fillId="0" borderId="0" xfId="1" applyFont="1" applyAlignment="1" applyProtection="1">
      <alignment vertical="center"/>
      <protection hidden="1"/>
    </xf>
    <xf numFmtId="0" fontId="11" fillId="0" borderId="12" xfId="1" applyFont="1" applyBorder="1" applyAlignment="1" applyProtection="1">
      <alignment vertical="center"/>
      <protection hidden="1"/>
    </xf>
    <xf numFmtId="1" fontId="21" fillId="0" borderId="1" xfId="1" applyNumberFormat="1" applyFont="1" applyBorder="1" applyAlignment="1" applyProtection="1">
      <alignment horizontal="center" vertical="center"/>
      <protection hidden="1"/>
    </xf>
    <xf numFmtId="0" fontId="11" fillId="0" borderId="1" xfId="1" applyFont="1" applyBorder="1" applyAlignment="1" applyProtection="1">
      <alignment vertical="center"/>
      <protection hidden="1"/>
    </xf>
    <xf numFmtId="2" fontId="6" fillId="0" borderId="0" xfId="1" applyNumberFormat="1" applyAlignment="1" applyProtection="1">
      <alignment vertical="center"/>
      <protection hidden="1"/>
    </xf>
    <xf numFmtId="0" fontId="11" fillId="0" borderId="0" xfId="1" applyFont="1" applyAlignment="1" applyProtection="1">
      <alignment horizontal="center" vertical="center"/>
      <protection hidden="1"/>
    </xf>
    <xf numFmtId="0" fontId="6" fillId="7" borderId="0" xfId="1" applyFill="1" applyAlignment="1" applyProtection="1">
      <alignment vertical="center"/>
      <protection hidden="1"/>
    </xf>
    <xf numFmtId="0" fontId="12" fillId="0" borderId="9" xfId="1" applyFont="1" applyBorder="1" applyAlignment="1" applyProtection="1">
      <alignment horizontal="center" vertical="center"/>
      <protection hidden="1"/>
    </xf>
    <xf numFmtId="0" fontId="6" fillId="0" borderId="9" xfId="1" applyBorder="1" applyAlignment="1" applyProtection="1">
      <alignment horizontal="center" vertical="center"/>
      <protection hidden="1"/>
    </xf>
    <xf numFmtId="12" fontId="27" fillId="0" borderId="0" xfId="1" applyNumberFormat="1" applyFont="1" applyAlignment="1" applyProtection="1">
      <alignment horizontal="center" vertical="center"/>
      <protection hidden="1"/>
    </xf>
    <xf numFmtId="0" fontId="11" fillId="0" borderId="0" xfId="1" applyFont="1" applyAlignment="1" applyProtection="1">
      <alignment horizontal="left" vertical="center"/>
      <protection hidden="1"/>
    </xf>
    <xf numFmtId="0" fontId="11" fillId="0" borderId="10" xfId="1" applyFont="1" applyBorder="1" applyAlignment="1" applyProtection="1">
      <alignment horizontal="center" vertical="center"/>
      <protection hidden="1"/>
    </xf>
    <xf numFmtId="1" fontId="28" fillId="0" borderId="0" xfId="1" applyNumberFormat="1" applyFont="1" applyAlignment="1" applyProtection="1">
      <alignment horizontal="center" vertical="center"/>
      <protection hidden="1"/>
    </xf>
    <xf numFmtId="0" fontId="8" fillId="0" borderId="9" xfId="1" applyFont="1" applyBorder="1" applyAlignment="1" applyProtection="1">
      <alignment horizontal="left" vertical="center"/>
      <protection hidden="1"/>
    </xf>
    <xf numFmtId="0" fontId="8" fillId="0" borderId="0" xfId="1" applyFont="1" applyAlignment="1" applyProtection="1">
      <alignment horizontal="left" vertical="center"/>
      <protection hidden="1"/>
    </xf>
    <xf numFmtId="0" fontId="8" fillId="0" borderId="10" xfId="1" applyFont="1" applyBorder="1" applyAlignment="1" applyProtection="1">
      <alignment horizontal="left" vertical="center"/>
      <protection hidden="1"/>
    </xf>
    <xf numFmtId="0" fontId="11" fillId="0" borderId="9" xfId="1" applyFont="1" applyBorder="1" applyAlignment="1" applyProtection="1">
      <alignment horizontal="center" vertical="center"/>
      <protection hidden="1"/>
    </xf>
    <xf numFmtId="2" fontId="21" fillId="0" borderId="0" xfId="1" applyNumberFormat="1" applyFont="1" applyAlignment="1" applyProtection="1">
      <alignment vertical="center"/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29" fillId="0" borderId="0" xfId="1" applyFont="1" applyAlignment="1" applyProtection="1">
      <alignment vertical="center"/>
      <protection hidden="1"/>
    </xf>
    <xf numFmtId="0" fontId="6" fillId="8" borderId="9" xfId="1" applyFill="1" applyBorder="1" applyAlignment="1" applyProtection="1">
      <alignment vertical="center"/>
      <protection hidden="1"/>
    </xf>
    <xf numFmtId="0" fontId="6" fillId="8" borderId="0" xfId="1" applyFill="1" applyAlignment="1" applyProtection="1">
      <alignment vertical="center"/>
      <protection hidden="1"/>
    </xf>
    <xf numFmtId="0" fontId="6" fillId="8" borderId="10" xfId="1" applyFill="1" applyBorder="1" applyAlignment="1" applyProtection="1">
      <alignment vertical="center"/>
      <protection hidden="1"/>
    </xf>
    <xf numFmtId="12" fontId="48" fillId="0" borderId="0" xfId="1" applyNumberFormat="1" applyFont="1" applyAlignment="1" applyProtection="1">
      <alignment horizontal="center" vertical="center"/>
      <protection hidden="1"/>
    </xf>
    <xf numFmtId="0" fontId="17" fillId="0" borderId="0" xfId="1" applyFont="1" applyAlignment="1" applyProtection="1">
      <alignment horizontal="left" vertical="center"/>
      <protection hidden="1"/>
    </xf>
    <xf numFmtId="0" fontId="22" fillId="0" borderId="0" xfId="1" applyFont="1" applyAlignment="1" applyProtection="1">
      <alignment vertical="center" shrinkToFit="1"/>
      <protection hidden="1"/>
    </xf>
    <xf numFmtId="12" fontId="49" fillId="0" borderId="10" xfId="1" applyNumberFormat="1" applyFont="1" applyBorder="1" applyAlignment="1" applyProtection="1">
      <alignment horizontal="left" vertical="center"/>
      <protection hidden="1"/>
    </xf>
    <xf numFmtId="0" fontId="12" fillId="0" borderId="0" xfId="1" applyFont="1" applyAlignment="1" applyProtection="1">
      <alignment vertical="center"/>
      <protection hidden="1"/>
    </xf>
    <xf numFmtId="0" fontId="22" fillId="0" borderId="0" xfId="1" applyFont="1" applyAlignment="1" applyProtection="1">
      <alignment horizontal="center" vertical="center"/>
      <protection hidden="1"/>
    </xf>
    <xf numFmtId="0" fontId="22" fillId="0" borderId="0" xfId="1" applyFont="1" applyAlignment="1" applyProtection="1">
      <alignment horizontal="left" vertical="center"/>
      <protection hidden="1"/>
    </xf>
    <xf numFmtId="0" fontId="6" fillId="0" borderId="13" xfId="1" applyBorder="1"/>
    <xf numFmtId="0" fontId="6" fillId="0" borderId="5" xfId="1" applyBorder="1"/>
    <xf numFmtId="0" fontId="6" fillId="0" borderId="14" xfId="1" applyBorder="1"/>
    <xf numFmtId="0" fontId="11" fillId="0" borderId="0" xfId="1" applyFont="1" applyAlignment="1" applyProtection="1">
      <alignment vertical="center" textRotation="90"/>
      <protection hidden="1"/>
    </xf>
    <xf numFmtId="0" fontId="6" fillId="7" borderId="0" xfId="1" applyFill="1" applyAlignment="1" applyProtection="1">
      <alignment horizontal="center" vertical="center"/>
      <protection hidden="1"/>
    </xf>
    <xf numFmtId="0" fontId="6" fillId="7" borderId="0" xfId="1" applyFill="1" applyAlignment="1" applyProtection="1">
      <alignment horizontal="left" vertical="center"/>
      <protection hidden="1"/>
    </xf>
    <xf numFmtId="0" fontId="6" fillId="7" borderId="1" xfId="1" applyFill="1" applyBorder="1" applyAlignment="1" applyProtection="1">
      <alignment horizontal="center" vertical="center"/>
      <protection hidden="1"/>
    </xf>
    <xf numFmtId="0" fontId="6" fillId="7" borderId="1" xfId="1" applyFill="1" applyBorder="1" applyAlignment="1" applyProtection="1">
      <alignment horizontal="left" vertical="center"/>
      <protection hidden="1"/>
    </xf>
    <xf numFmtId="0" fontId="11" fillId="7" borderId="6" xfId="1" applyFont="1" applyFill="1" applyBorder="1" applyAlignment="1" applyProtection="1">
      <alignment horizontal="center" vertical="center"/>
      <protection hidden="1"/>
    </xf>
    <xf numFmtId="0" fontId="11" fillId="7" borderId="1" xfId="1" applyFont="1" applyFill="1" applyBorder="1" applyAlignment="1" applyProtection="1">
      <alignment horizontal="center" vertical="center"/>
      <protection hidden="1"/>
    </xf>
    <xf numFmtId="0" fontId="6" fillId="7" borderId="1" xfId="1" applyFill="1" applyBorder="1" applyAlignment="1" applyProtection="1">
      <alignment vertical="center"/>
      <protection hidden="1"/>
    </xf>
    <xf numFmtId="0" fontId="6" fillId="7" borderId="6" xfId="1" applyFill="1" applyBorder="1" applyAlignment="1" applyProtection="1">
      <alignment horizontal="center" vertical="center"/>
      <protection hidden="1"/>
    </xf>
    <xf numFmtId="0" fontId="6" fillId="7" borderId="9" xfId="1" applyFill="1" applyBorder="1" applyAlignment="1" applyProtection="1">
      <alignment horizontal="center" vertical="center"/>
      <protection hidden="1"/>
    </xf>
    <xf numFmtId="0" fontId="6" fillId="7" borderId="10" xfId="1" applyFill="1" applyBorder="1" applyAlignment="1" applyProtection="1">
      <alignment horizontal="left" vertical="center"/>
      <protection hidden="1"/>
    </xf>
    <xf numFmtId="2" fontId="6" fillId="7" borderId="1" xfId="1" applyNumberFormat="1" applyFill="1" applyBorder="1" applyAlignment="1" applyProtection="1">
      <alignment horizontal="center" vertical="center"/>
      <protection hidden="1"/>
    </xf>
    <xf numFmtId="164" fontId="6" fillId="7" borderId="1" xfId="1" applyNumberFormat="1" applyFill="1" applyBorder="1" applyAlignment="1" applyProtection="1">
      <alignment horizontal="center" vertical="center"/>
      <protection hidden="1"/>
    </xf>
    <xf numFmtId="0" fontId="6" fillId="7" borderId="13" xfId="1" applyFill="1" applyBorder="1" applyAlignment="1" applyProtection="1">
      <alignment horizontal="center" vertical="center"/>
      <protection hidden="1"/>
    </xf>
    <xf numFmtId="0" fontId="6" fillId="7" borderId="5" xfId="1" applyFill="1" applyBorder="1" applyAlignment="1" applyProtection="1">
      <alignment horizontal="center" vertical="center"/>
      <protection hidden="1"/>
    </xf>
    <xf numFmtId="0" fontId="6" fillId="7" borderId="14" xfId="1" applyFill="1" applyBorder="1" applyAlignment="1" applyProtection="1">
      <alignment horizontal="left" vertical="center"/>
      <protection hidden="1"/>
    </xf>
    <xf numFmtId="0" fontId="32" fillId="7" borderId="0" xfId="1" applyFont="1" applyFill="1" applyAlignment="1" applyProtection="1">
      <alignment vertical="center"/>
      <protection hidden="1"/>
    </xf>
    <xf numFmtId="0" fontId="31" fillId="7" borderId="1" xfId="1" applyFont="1" applyFill="1" applyBorder="1" applyAlignment="1" applyProtection="1">
      <alignment horizontal="center" vertical="center"/>
      <protection hidden="1"/>
    </xf>
    <xf numFmtId="0" fontId="31" fillId="7" borderId="1" xfId="1" applyFont="1" applyFill="1" applyBorder="1" applyAlignment="1" applyProtection="1">
      <alignment horizontal="left" vertical="center"/>
      <protection hidden="1"/>
    </xf>
    <xf numFmtId="0" fontId="6" fillId="7" borderId="15" xfId="1" applyFill="1" applyBorder="1" applyAlignment="1" applyProtection="1">
      <alignment horizontal="center" vertical="center"/>
      <protection hidden="1"/>
    </xf>
    <xf numFmtId="0" fontId="6" fillId="7" borderId="16" xfId="1" applyFill="1" applyBorder="1" applyAlignment="1" applyProtection="1">
      <alignment horizontal="center" vertical="center"/>
      <protection hidden="1"/>
    </xf>
    <xf numFmtId="0" fontId="33" fillId="7" borderId="0" xfId="1" applyFont="1" applyFill="1" applyAlignment="1" applyProtection="1">
      <alignment horizontal="center" vertical="center"/>
      <protection hidden="1"/>
    </xf>
    <xf numFmtId="0" fontId="6" fillId="0" borderId="0" xfId="1"/>
    <xf numFmtId="0" fontId="50" fillId="9" borderId="17" xfId="1" applyFont="1" applyFill="1" applyBorder="1" applyAlignment="1">
      <alignment horizontal="center" vertical="center" wrapText="1"/>
    </xf>
    <xf numFmtId="0" fontId="50" fillId="9" borderId="18" xfId="1" applyFont="1" applyFill="1" applyBorder="1" applyAlignment="1">
      <alignment horizontal="center" vertical="center" wrapText="1"/>
    </xf>
    <xf numFmtId="0" fontId="51" fillId="0" borderId="14" xfId="1" applyFont="1" applyBorder="1" applyAlignment="1">
      <alignment horizontal="center" vertical="center" wrapText="1"/>
    </xf>
    <xf numFmtId="0" fontId="51" fillId="0" borderId="5" xfId="1" applyFont="1" applyBorder="1" applyAlignment="1">
      <alignment horizontal="center" vertical="center" wrapText="1"/>
    </xf>
    <xf numFmtId="0" fontId="51" fillId="0" borderId="10" xfId="1" applyFont="1" applyBorder="1" applyAlignment="1">
      <alignment horizontal="center" vertical="center" wrapText="1"/>
    </xf>
    <xf numFmtId="0" fontId="51" fillId="0" borderId="0" xfId="1" applyFont="1" applyAlignment="1">
      <alignment horizontal="center" vertical="center" wrapText="1"/>
    </xf>
    <xf numFmtId="0" fontId="50" fillId="9" borderId="19" xfId="1" applyFont="1" applyFill="1" applyBorder="1" applyAlignment="1">
      <alignment horizontal="center" vertical="center" wrapText="1"/>
    </xf>
    <xf numFmtId="0" fontId="50" fillId="9" borderId="4" xfId="1" applyFont="1" applyFill="1" applyBorder="1" applyAlignment="1">
      <alignment horizontal="center" vertical="center" wrapText="1"/>
    </xf>
    <xf numFmtId="0" fontId="52" fillId="0" borderId="0" xfId="1" applyFont="1" applyAlignment="1">
      <alignment horizontal="center"/>
    </xf>
    <xf numFmtId="0" fontId="51" fillId="0" borderId="17" xfId="1" applyFont="1" applyBorder="1" applyAlignment="1">
      <alignment horizontal="center" vertical="center" wrapText="1"/>
    </xf>
    <xf numFmtId="0" fontId="51" fillId="0" borderId="18" xfId="1" applyFont="1" applyBorder="1" applyAlignment="1">
      <alignment horizontal="center" vertical="center" wrapText="1"/>
    </xf>
    <xf numFmtId="0" fontId="11" fillId="6" borderId="20" xfId="1" applyFont="1" applyFill="1" applyBorder="1" applyAlignment="1">
      <alignment horizontal="center" vertical="center" wrapText="1"/>
    </xf>
    <xf numFmtId="0" fontId="11" fillId="6" borderId="4" xfId="1" applyFont="1" applyFill="1" applyBorder="1" applyAlignment="1">
      <alignment horizontal="center" vertical="center" wrapText="1"/>
    </xf>
    <xf numFmtId="0" fontId="6" fillId="0" borderId="14" xfId="1" applyBorder="1" applyAlignment="1">
      <alignment horizontal="center" vertical="center" wrapText="1"/>
    </xf>
    <xf numFmtId="0" fontId="6" fillId="0" borderId="5" xfId="1" applyBorder="1" applyAlignment="1">
      <alignment horizontal="center" vertical="center" wrapText="1"/>
    </xf>
    <xf numFmtId="0" fontId="6" fillId="0" borderId="17" xfId="1" applyBorder="1" applyAlignment="1">
      <alignment horizontal="center" vertical="center" wrapText="1"/>
    </xf>
    <xf numFmtId="0" fontId="6" fillId="0" borderId="18" xfId="1" applyBorder="1" applyAlignment="1">
      <alignment horizontal="center" vertical="center" wrapText="1"/>
    </xf>
    <xf numFmtId="0" fontId="53" fillId="6" borderId="14" xfId="1" applyFont="1" applyFill="1" applyBorder="1" applyAlignment="1">
      <alignment horizontal="center" vertical="center" wrapText="1"/>
    </xf>
    <xf numFmtId="0" fontId="53" fillId="6" borderId="14" xfId="1" applyFont="1" applyFill="1" applyBorder="1" applyAlignment="1">
      <alignment vertical="center" wrapText="1"/>
    </xf>
    <xf numFmtId="0" fontId="53" fillId="6" borderId="5" xfId="1" applyFont="1" applyFill="1" applyBorder="1" applyAlignment="1">
      <alignment vertical="top" wrapText="1"/>
    </xf>
    <xf numFmtId="0" fontId="54" fillId="0" borderId="14" xfId="1" applyFont="1" applyBorder="1" applyAlignment="1">
      <alignment horizontal="center" vertical="center" wrapText="1"/>
    </xf>
    <xf numFmtId="0" fontId="54" fillId="0" borderId="5" xfId="1" applyFont="1" applyBorder="1" applyAlignment="1">
      <alignment horizontal="center" vertical="center" wrapText="1"/>
    </xf>
    <xf numFmtId="0" fontId="53" fillId="6" borderId="5" xfId="1" applyFont="1" applyFill="1" applyBorder="1" applyAlignment="1">
      <alignment horizontal="center" vertical="center" wrapText="1"/>
    </xf>
    <xf numFmtId="0" fontId="52" fillId="0" borderId="0" xfId="1" applyFont="1" applyAlignment="1">
      <alignment horizontal="center" vertical="center"/>
    </xf>
    <xf numFmtId="3" fontId="54" fillId="0" borderId="14" xfId="1" applyNumberFormat="1" applyFont="1" applyBorder="1" applyAlignment="1">
      <alignment horizontal="center" vertical="center" wrapText="1"/>
    </xf>
    <xf numFmtId="3" fontId="54" fillId="0" borderId="17" xfId="1" applyNumberFormat="1" applyFont="1" applyBorder="1" applyAlignment="1">
      <alignment horizontal="center" vertical="center" wrapText="1"/>
    </xf>
    <xf numFmtId="0" fontId="54" fillId="0" borderId="17" xfId="1" applyFont="1" applyBorder="1" applyAlignment="1">
      <alignment horizontal="center" vertical="center" wrapText="1"/>
    </xf>
    <xf numFmtId="0" fontId="54" fillId="0" borderId="18" xfId="1" applyFont="1" applyBorder="1" applyAlignment="1">
      <alignment horizontal="center" vertical="center" wrapText="1"/>
    </xf>
    <xf numFmtId="0" fontId="36" fillId="0" borderId="0" xfId="1" applyFont="1" applyAlignment="1">
      <alignment vertical="center" wrapText="1"/>
    </xf>
    <xf numFmtId="0" fontId="53" fillId="6" borderId="8" xfId="1" applyFont="1" applyFill="1" applyBorder="1" applyAlignment="1">
      <alignment horizontal="center" vertical="center" wrapText="1"/>
    </xf>
    <xf numFmtId="0" fontId="53" fillId="6" borderId="0" xfId="1" applyFont="1" applyFill="1" applyAlignment="1">
      <alignment horizontal="center" vertical="center" wrapText="1"/>
    </xf>
    <xf numFmtId="0" fontId="53" fillId="6" borderId="10" xfId="1" applyFont="1" applyFill="1" applyBorder="1" applyAlignment="1">
      <alignment horizontal="center" vertical="center" wrapText="1"/>
    </xf>
    <xf numFmtId="0" fontId="54" fillId="6" borderId="10" xfId="1" applyFont="1" applyFill="1" applyBorder="1" applyAlignment="1">
      <alignment vertical="center" wrapText="1"/>
    </xf>
    <xf numFmtId="0" fontId="53" fillId="6" borderId="21" xfId="1" applyFont="1" applyFill="1" applyBorder="1" applyAlignment="1">
      <alignment horizontal="center" vertical="center" wrapText="1"/>
    </xf>
    <xf numFmtId="0" fontId="6" fillId="6" borderId="14" xfId="1" applyFill="1" applyBorder="1" applyAlignment="1">
      <alignment vertical="center" wrapText="1"/>
    </xf>
    <xf numFmtId="0" fontId="53" fillId="6" borderId="22" xfId="1" applyFont="1" applyFill="1" applyBorder="1" applyAlignment="1">
      <alignment horizontal="center" vertical="center" wrapText="1"/>
    </xf>
    <xf numFmtId="0" fontId="54" fillId="10" borderId="22" xfId="1" applyFont="1" applyFill="1" applyBorder="1" applyAlignment="1">
      <alignment horizontal="center" vertical="center" wrapText="1"/>
    </xf>
    <xf numFmtId="0" fontId="54" fillId="10" borderId="23" xfId="1" applyFont="1" applyFill="1" applyBorder="1" applyAlignment="1">
      <alignment horizontal="center" vertical="center" wrapText="1"/>
    </xf>
    <xf numFmtId="0" fontId="6" fillId="0" borderId="0" xfId="1" applyAlignment="1">
      <alignment vertical="center"/>
    </xf>
    <xf numFmtId="0" fontId="6" fillId="0" borderId="7" xfId="1" applyBorder="1" applyAlignment="1">
      <alignment vertical="center"/>
    </xf>
    <xf numFmtId="0" fontId="6" fillId="0" borderId="8" xfId="1" applyBorder="1" applyAlignment="1">
      <alignment vertical="center"/>
    </xf>
    <xf numFmtId="49" fontId="29" fillId="0" borderId="16" xfId="1" applyNumberFormat="1" applyFont="1" applyBorder="1" applyAlignment="1">
      <alignment vertical="center"/>
    </xf>
    <xf numFmtId="0" fontId="6" fillId="0" borderId="11" xfId="1" applyBorder="1" applyAlignment="1">
      <alignment vertical="center"/>
    </xf>
    <xf numFmtId="0" fontId="6" fillId="0" borderId="9" xfId="1" applyBorder="1" applyAlignment="1">
      <alignment vertical="center"/>
    </xf>
    <xf numFmtId="0" fontId="6" fillId="0" borderId="10" xfId="1" applyBorder="1" applyAlignment="1">
      <alignment vertical="center"/>
    </xf>
    <xf numFmtId="0" fontId="11" fillId="11" borderId="11" xfId="1" applyFont="1" applyFill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center" vertical="center"/>
      <protection hidden="1"/>
    </xf>
    <xf numFmtId="0" fontId="11" fillId="0" borderId="15" xfId="1" applyFont="1" applyBorder="1" applyAlignment="1" applyProtection="1">
      <alignment horizontal="center" vertical="center"/>
      <protection hidden="1"/>
    </xf>
    <xf numFmtId="0" fontId="11" fillId="0" borderId="24" xfId="1" applyFont="1" applyBorder="1" applyAlignment="1" applyProtection="1">
      <alignment horizontal="center" vertical="center"/>
      <protection hidden="1"/>
    </xf>
    <xf numFmtId="0" fontId="6" fillId="12" borderId="1" xfId="1" applyFill="1" applyBorder="1" applyAlignment="1" applyProtection="1">
      <alignment horizontal="center" vertical="center"/>
      <protection hidden="1"/>
    </xf>
    <xf numFmtId="0" fontId="6" fillId="12" borderId="25" xfId="1" applyFill="1" applyBorder="1" applyAlignment="1" applyProtection="1">
      <alignment horizontal="center" vertical="center"/>
      <protection hidden="1"/>
    </xf>
    <xf numFmtId="0" fontId="6" fillId="0" borderId="26" xfId="1" applyBorder="1" applyAlignment="1" applyProtection="1">
      <alignment horizontal="center" vertical="center"/>
      <protection hidden="1"/>
    </xf>
    <xf numFmtId="0" fontId="6" fillId="0" borderId="12" xfId="1" applyBorder="1" applyAlignment="1" applyProtection="1">
      <alignment horizontal="center" vertical="center"/>
      <protection hidden="1"/>
    </xf>
    <xf numFmtId="0" fontId="6" fillId="0" borderId="27" xfId="1" applyBorder="1" applyAlignment="1" applyProtection="1">
      <alignment horizontal="center" vertical="center"/>
      <protection hidden="1"/>
    </xf>
    <xf numFmtId="0" fontId="6" fillId="0" borderId="28" xfId="1" applyBorder="1" applyAlignment="1" applyProtection="1">
      <alignment horizontal="center" vertical="center"/>
      <protection hidden="1"/>
    </xf>
    <xf numFmtId="0" fontId="6" fillId="0" borderId="29" xfId="1" applyBorder="1" applyAlignment="1" applyProtection="1">
      <alignment horizontal="center" vertical="center"/>
      <protection hidden="1"/>
    </xf>
    <xf numFmtId="0" fontId="6" fillId="0" borderId="30" xfId="1" applyBorder="1" applyAlignment="1" applyProtection="1">
      <alignment horizontal="center" vertical="center"/>
      <protection hidden="1"/>
    </xf>
    <xf numFmtId="0" fontId="6" fillId="0" borderId="31" xfId="1" applyBorder="1" applyAlignment="1" applyProtection="1">
      <alignment horizontal="center" vertical="center"/>
      <protection hidden="1"/>
    </xf>
    <xf numFmtId="0" fontId="6" fillId="0" borderId="5" xfId="1" applyBorder="1" applyAlignment="1">
      <alignment vertical="center"/>
    </xf>
    <xf numFmtId="0" fontId="6" fillId="0" borderId="13" xfId="1" applyBorder="1" applyAlignment="1">
      <alignment vertical="center"/>
    </xf>
    <xf numFmtId="0" fontId="6" fillId="0" borderId="14" xfId="1" applyBorder="1" applyAlignment="1">
      <alignment vertical="center"/>
    </xf>
    <xf numFmtId="0" fontId="54" fillId="0" borderId="14" xfId="1" applyFont="1" applyBorder="1" applyAlignment="1">
      <alignment vertical="center" wrapText="1"/>
    </xf>
    <xf numFmtId="0" fontId="53" fillId="0" borderId="14" xfId="1" applyFont="1" applyBorder="1" applyAlignment="1">
      <alignment vertical="center" wrapText="1"/>
    </xf>
    <xf numFmtId="0" fontId="6" fillId="0" borderId="14" xfId="1" applyBorder="1" applyAlignment="1">
      <alignment vertical="center" wrapText="1"/>
    </xf>
    <xf numFmtId="0" fontId="11" fillId="0" borderId="14" xfId="1" applyFont="1" applyBorder="1" applyAlignment="1">
      <alignment vertical="center" wrapText="1"/>
    </xf>
    <xf numFmtId="0" fontId="6" fillId="0" borderId="17" xfId="1" applyBorder="1" applyAlignment="1">
      <alignment vertical="center" wrapText="1"/>
    </xf>
    <xf numFmtId="0" fontId="6" fillId="0" borderId="7" xfId="1" applyBorder="1"/>
    <xf numFmtId="49" fontId="29" fillId="0" borderId="32" xfId="1" applyNumberFormat="1" applyFont="1" applyBorder="1" applyAlignment="1">
      <alignment vertical="center"/>
    </xf>
    <xf numFmtId="49" fontId="29" fillId="0" borderId="33" xfId="1" applyNumberFormat="1" applyFont="1" applyBorder="1" applyAlignment="1">
      <alignment vertical="center"/>
    </xf>
    <xf numFmtId="0" fontId="6" fillId="0" borderId="11" xfId="1" applyBorder="1"/>
    <xf numFmtId="0" fontId="6" fillId="0" borderId="10" xfId="1" applyBorder="1"/>
    <xf numFmtId="0" fontId="6" fillId="11" borderId="34" xfId="1" applyFill="1" applyBorder="1" applyAlignment="1" applyProtection="1">
      <alignment horizontal="center"/>
      <protection hidden="1"/>
    </xf>
    <xf numFmtId="0" fontId="6" fillId="13" borderId="35" xfId="1" applyFill="1" applyBorder="1" applyAlignment="1" applyProtection="1">
      <alignment horizontal="center"/>
      <protection hidden="1"/>
    </xf>
    <xf numFmtId="2" fontId="6" fillId="0" borderId="36" xfId="1" applyNumberFormat="1" applyBorder="1" applyAlignment="1" applyProtection="1">
      <alignment horizontal="center"/>
      <protection hidden="1"/>
    </xf>
    <xf numFmtId="168" fontId="6" fillId="0" borderId="37" xfId="1" applyNumberFormat="1" applyBorder="1" applyAlignment="1" applyProtection="1">
      <alignment horizontal="center"/>
      <protection hidden="1"/>
    </xf>
    <xf numFmtId="168" fontId="6" fillId="0" borderId="0" xfId="1" applyNumberFormat="1"/>
    <xf numFmtId="2" fontId="6" fillId="0" borderId="38" xfId="1" applyNumberFormat="1" applyBorder="1" applyAlignment="1" applyProtection="1">
      <alignment horizontal="center"/>
      <protection hidden="1"/>
    </xf>
    <xf numFmtId="168" fontId="6" fillId="0" borderId="39" xfId="1" applyNumberFormat="1" applyBorder="1" applyAlignment="1" applyProtection="1">
      <alignment horizontal="center"/>
      <protection hidden="1"/>
    </xf>
    <xf numFmtId="0" fontId="42" fillId="5" borderId="9" xfId="1" applyFont="1" applyFill="1" applyBorder="1" applyAlignment="1" applyProtection="1">
      <alignment horizontal="center" vertical="center" textRotation="90"/>
      <protection hidden="1"/>
    </xf>
    <xf numFmtId="0" fontId="20" fillId="0" borderId="9" xfId="1" applyFont="1" applyBorder="1" applyAlignment="1" applyProtection="1">
      <alignment horizontal="center" vertical="center" shrinkToFit="1"/>
      <protection hidden="1"/>
    </xf>
    <xf numFmtId="0" fontId="21" fillId="0" borderId="0" xfId="1" applyFont="1" applyAlignment="1" applyProtection="1">
      <alignment horizontal="center" vertical="center" shrinkToFit="1"/>
      <protection hidden="1"/>
    </xf>
    <xf numFmtId="0" fontId="21" fillId="0" borderId="0" xfId="1" applyFont="1" applyAlignment="1" applyProtection="1">
      <alignment horizontal="center" vertical="center"/>
      <protection hidden="1"/>
    </xf>
    <xf numFmtId="0" fontId="21" fillId="0" borderId="9" xfId="1" applyFont="1" applyBorder="1" applyAlignment="1" applyProtection="1">
      <alignment horizontal="center" vertical="center"/>
      <protection hidden="1"/>
    </xf>
    <xf numFmtId="0" fontId="55" fillId="0" borderId="0" xfId="1" applyFont="1" applyAlignment="1" applyProtection="1">
      <alignment vertical="center"/>
      <protection hidden="1"/>
    </xf>
    <xf numFmtId="0" fontId="6" fillId="0" borderId="11" xfId="1" applyBorder="1" applyAlignment="1" applyProtection="1">
      <alignment vertical="center"/>
      <protection hidden="1"/>
    </xf>
    <xf numFmtId="0" fontId="56" fillId="0" borderId="8" xfId="1" applyFont="1" applyBorder="1" applyAlignment="1" applyProtection="1">
      <alignment vertical="center" wrapText="1"/>
      <protection hidden="1"/>
    </xf>
    <xf numFmtId="166" fontId="21" fillId="0" borderId="0" xfId="1" applyNumberFormat="1" applyFont="1" applyAlignment="1" applyProtection="1">
      <alignment horizontal="center" vertical="center" shrinkToFit="1"/>
      <protection hidden="1"/>
    </xf>
    <xf numFmtId="0" fontId="41" fillId="0" borderId="0" xfId="1" applyFont="1" applyAlignment="1" applyProtection="1">
      <alignment horizontal="left" vertical="center" shrinkToFit="1"/>
      <protection hidden="1"/>
    </xf>
    <xf numFmtId="0" fontId="48" fillId="0" borderId="26" xfId="1" applyFont="1" applyBorder="1" applyAlignment="1" applyProtection="1">
      <alignment horizontal="left" vertical="center"/>
      <protection hidden="1"/>
    </xf>
    <xf numFmtId="2" fontId="48" fillId="5" borderId="40" xfId="1" applyNumberFormat="1" applyFont="1" applyFill="1" applyBorder="1" applyAlignment="1">
      <alignment horizontal="center" vertical="center" shrinkToFit="1"/>
    </xf>
    <xf numFmtId="2" fontId="48" fillId="5" borderId="0" xfId="1" applyNumberFormat="1" applyFont="1" applyFill="1" applyAlignment="1">
      <alignment horizontal="center" vertical="center" shrinkToFit="1"/>
    </xf>
    <xf numFmtId="2" fontId="42" fillId="3" borderId="1" xfId="0" applyNumberFormat="1" applyFont="1" applyFill="1" applyBorder="1" applyAlignment="1">
      <alignment horizontal="center" vertical="center" wrapText="1"/>
    </xf>
    <xf numFmtId="0" fontId="6" fillId="0" borderId="0" xfId="1" quotePrefix="1" applyAlignment="1">
      <alignment vertical="center"/>
    </xf>
    <xf numFmtId="0" fontId="6" fillId="0" borderId="0" xfId="1" applyAlignment="1">
      <alignment horizontal="center"/>
    </xf>
    <xf numFmtId="0" fontId="12" fillId="4" borderId="2" xfId="0" applyFont="1" applyFill="1" applyBorder="1" applyAlignment="1" applyProtection="1">
      <alignment horizontal="center" vertical="center"/>
      <protection hidden="1"/>
    </xf>
    <xf numFmtId="0" fontId="42" fillId="6" borderId="16" xfId="0" applyFont="1" applyFill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0" xfId="1" applyFont="1" applyAlignment="1" applyProtection="1">
      <alignment horizontal="right" vertical="center"/>
      <protection hidden="1"/>
    </xf>
    <xf numFmtId="0" fontId="1" fillId="0" borderId="0" xfId="1" applyFont="1" applyAlignment="1" applyProtection="1">
      <alignment horizontal="center" vertical="center"/>
      <protection hidden="1"/>
    </xf>
    <xf numFmtId="169" fontId="48" fillId="5" borderId="40" xfId="3" applyNumberFormat="1" applyFont="1" applyFill="1" applyBorder="1" applyAlignment="1" applyProtection="1">
      <alignment horizontal="center" vertical="center" shrinkToFit="1"/>
    </xf>
    <xf numFmtId="0" fontId="6" fillId="0" borderId="0" xfId="1" applyAlignment="1" applyProtection="1">
      <alignment horizontal="center" vertical="center" shrinkToFit="1"/>
      <protection hidden="1"/>
    </xf>
    <xf numFmtId="0" fontId="6" fillId="0" borderId="10" xfId="1" applyBorder="1" applyAlignment="1" applyProtection="1">
      <alignment vertical="center" shrinkToFit="1"/>
      <protection hidden="1"/>
    </xf>
    <xf numFmtId="0" fontId="6" fillId="0" borderId="33" xfId="1" applyBorder="1" applyAlignment="1">
      <alignment horizontal="center" vertical="center" wrapText="1"/>
    </xf>
    <xf numFmtId="0" fontId="60" fillId="0" borderId="0" xfId="4" applyProtection="1"/>
    <xf numFmtId="0" fontId="54" fillId="10" borderId="42" xfId="1" applyFont="1" applyFill="1" applyBorder="1" applyAlignment="1">
      <alignment vertical="center" wrapText="1"/>
    </xf>
    <xf numFmtId="0" fontId="54" fillId="10" borderId="43" xfId="1" applyFont="1" applyFill="1" applyBorder="1" applyAlignment="1">
      <alignment vertical="center" wrapText="1"/>
    </xf>
    <xf numFmtId="0" fontId="54" fillId="10" borderId="32" xfId="1" applyFont="1" applyFill="1" applyBorder="1" applyAlignment="1">
      <alignment horizontal="left" vertical="center" wrapText="1"/>
    </xf>
    <xf numFmtId="0" fontId="54" fillId="10" borderId="44" xfId="1" applyFont="1" applyFill="1" applyBorder="1" applyAlignment="1">
      <alignment horizontal="left" vertical="center" wrapText="1"/>
    </xf>
    <xf numFmtId="0" fontId="54" fillId="14" borderId="14" xfId="1" applyFont="1" applyFill="1" applyBorder="1" applyAlignment="1">
      <alignment horizontal="center" vertical="center" wrapText="1"/>
    </xf>
    <xf numFmtId="0" fontId="54" fillId="14" borderId="32" xfId="1" applyFont="1" applyFill="1" applyBorder="1" applyAlignment="1">
      <alignment horizontal="center" vertical="center" wrapText="1"/>
    </xf>
    <xf numFmtId="0" fontId="54" fillId="14" borderId="22" xfId="1" applyFont="1" applyFill="1" applyBorder="1" applyAlignment="1">
      <alignment horizontal="center" vertical="center" wrapText="1"/>
    </xf>
    <xf numFmtId="0" fontId="54" fillId="14" borderId="42" xfId="1" applyFont="1" applyFill="1" applyBorder="1" applyAlignment="1">
      <alignment vertical="center" wrapText="1"/>
    </xf>
    <xf numFmtId="0" fontId="54" fillId="14" borderId="32" xfId="1" applyFont="1" applyFill="1" applyBorder="1" applyAlignment="1">
      <alignment horizontal="left" vertical="center" wrapText="1"/>
    </xf>
    <xf numFmtId="0" fontId="6" fillId="14" borderId="5" xfId="1" applyFill="1" applyBorder="1" applyAlignment="1">
      <alignment horizontal="center" vertical="center" wrapText="1"/>
    </xf>
    <xf numFmtId="0" fontId="42" fillId="0" borderId="0" xfId="0" applyFont="1" applyAlignment="1">
      <alignment vertical="center" wrapText="1"/>
    </xf>
    <xf numFmtId="0" fontId="56" fillId="0" borderId="0" xfId="1" applyFont="1" applyAlignment="1" applyProtection="1">
      <alignment horizontal="center" vertical="center" wrapText="1"/>
      <protection hidden="1"/>
    </xf>
    <xf numFmtId="0" fontId="6" fillId="14" borderId="14" xfId="1" applyFill="1" applyBorder="1" applyAlignment="1">
      <alignment horizontal="center" vertical="center" wrapText="1"/>
    </xf>
    <xf numFmtId="0" fontId="1" fillId="5" borderId="41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vertical="center" wrapText="1"/>
      <protection hidden="1"/>
    </xf>
    <xf numFmtId="0" fontId="16" fillId="0" borderId="9" xfId="1" applyFont="1" applyBorder="1" applyAlignment="1" applyProtection="1">
      <alignment horizontal="right" vertical="center"/>
      <protection hidden="1"/>
    </xf>
    <xf numFmtId="169" fontId="48" fillId="5" borderId="0" xfId="3" applyNumberFormat="1" applyFont="1" applyFill="1" applyBorder="1" applyAlignment="1" applyProtection="1">
      <alignment horizontal="center" vertical="center" shrinkToFit="1"/>
    </xf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11" fillId="3" borderId="1" xfId="1" applyFont="1" applyFill="1" applyBorder="1" applyAlignment="1" applyProtection="1">
      <alignment horizontal="center" vertical="center"/>
      <protection locked="0" hidden="1"/>
    </xf>
    <xf numFmtId="0" fontId="1" fillId="15" borderId="1" xfId="0" applyFont="1" applyFill="1" applyBorder="1" applyAlignment="1" applyProtection="1">
      <alignment horizontal="center" vertical="center" wrapText="1"/>
      <protection hidden="1"/>
    </xf>
    <xf numFmtId="43" fontId="42" fillId="15" borderId="1" xfId="3" applyFont="1" applyFill="1" applyBorder="1" applyAlignment="1" applyProtection="1">
      <alignment horizontal="center" vertical="center" wrapText="1"/>
      <protection hidden="1"/>
    </xf>
    <xf numFmtId="2" fontId="1" fillId="15" borderId="1" xfId="0" applyNumberFormat="1" applyFont="1" applyFill="1" applyBorder="1" applyAlignment="1" applyProtection="1">
      <alignment horizontal="center" vertical="center" wrapText="1"/>
      <protection hidden="1"/>
    </xf>
    <xf numFmtId="170" fontId="42" fillId="15" borderId="1" xfId="3" applyNumberFormat="1" applyFont="1" applyFill="1" applyBorder="1" applyAlignment="1" applyProtection="1">
      <alignment horizontal="center" vertical="center" wrapText="1"/>
      <protection hidden="1"/>
    </xf>
    <xf numFmtId="0" fontId="0" fillId="16" borderId="46" xfId="0" applyFill="1" applyBorder="1"/>
    <xf numFmtId="0" fontId="0" fillId="16" borderId="0" xfId="0" applyFill="1" applyAlignment="1">
      <alignment horizontal="center"/>
    </xf>
    <xf numFmtId="0" fontId="0" fillId="16" borderId="0" xfId="0" applyFill="1"/>
    <xf numFmtId="0" fontId="47" fillId="17" borderId="1" xfId="0" applyFont="1" applyFill="1" applyBorder="1" applyAlignment="1">
      <alignment horizontal="center" vertical="center" wrapText="1"/>
    </xf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47" fillId="17" borderId="53" xfId="0" applyFont="1" applyFill="1" applyBorder="1" applyAlignment="1">
      <alignment horizontal="center" vertical="center" wrapText="1"/>
    </xf>
    <xf numFmtId="0" fontId="47" fillId="17" borderId="54" xfId="0" applyFont="1" applyFill="1" applyBorder="1" applyAlignment="1">
      <alignment horizontal="center" vertical="center" wrapText="1"/>
    </xf>
    <xf numFmtId="0" fontId="1" fillId="0" borderId="53" xfId="0" applyFont="1" applyBorder="1" applyAlignment="1">
      <alignment horizontal="center" vertical="center" wrapText="1"/>
    </xf>
    <xf numFmtId="2" fontId="1" fillId="15" borderId="54" xfId="0" applyNumberFormat="1" applyFont="1" applyFill="1" applyBorder="1" applyAlignment="1" applyProtection="1">
      <alignment horizontal="center" vertical="center" wrapText="1"/>
      <protection hidden="1"/>
    </xf>
    <xf numFmtId="43" fontId="42" fillId="15" borderId="54" xfId="3" applyFont="1" applyFill="1" applyBorder="1" applyAlignment="1" applyProtection="1">
      <alignment horizontal="center" vertical="center" wrapText="1"/>
      <protection hidden="1"/>
    </xf>
    <xf numFmtId="2" fontId="42" fillId="5" borderId="52" xfId="0" applyNumberFormat="1" applyFont="1" applyFill="1" applyBorder="1" applyAlignment="1">
      <alignment horizontal="center" vertical="center" wrapText="1"/>
    </xf>
    <xf numFmtId="0" fontId="48" fillId="0" borderId="9" xfId="1" applyFont="1" applyBorder="1" applyAlignment="1" applyProtection="1">
      <alignment vertical="center"/>
      <protection hidden="1"/>
    </xf>
    <xf numFmtId="0" fontId="67" fillId="0" borderId="9" xfId="1" applyFont="1" applyBorder="1" applyAlignment="1" applyProtection="1">
      <alignment vertical="center"/>
      <protection hidden="1"/>
    </xf>
    <xf numFmtId="0" fontId="6" fillId="16" borderId="0" xfId="1" applyFill="1" applyAlignment="1" applyProtection="1">
      <alignment horizontal="left" vertical="center"/>
      <protection hidden="1"/>
    </xf>
    <xf numFmtId="0" fontId="6" fillId="16" borderId="0" xfId="1" applyFill="1" applyAlignment="1" applyProtection="1">
      <alignment horizontal="right" vertical="center"/>
      <protection hidden="1"/>
    </xf>
    <xf numFmtId="0" fontId="6" fillId="16" borderId="0" xfId="1" applyFill="1" applyAlignment="1" applyProtection="1">
      <alignment horizontal="center" vertical="center"/>
      <protection hidden="1"/>
    </xf>
    <xf numFmtId="0" fontId="6" fillId="16" borderId="0" xfId="1" applyFill="1" applyAlignment="1" applyProtection="1">
      <alignment vertical="center"/>
      <protection hidden="1"/>
    </xf>
    <xf numFmtId="0" fontId="6" fillId="5" borderId="0" xfId="1" applyFill="1" applyAlignment="1" applyProtection="1">
      <alignment vertical="center"/>
      <protection hidden="1"/>
    </xf>
    <xf numFmtId="0" fontId="63" fillId="17" borderId="7" xfId="1" applyFont="1" applyFill="1" applyBorder="1" applyAlignment="1" applyProtection="1">
      <alignment vertical="center"/>
      <protection hidden="1"/>
    </xf>
    <xf numFmtId="0" fontId="64" fillId="17" borderId="8" xfId="1" applyFont="1" applyFill="1" applyBorder="1" applyAlignment="1" applyProtection="1">
      <alignment vertical="center"/>
      <protection hidden="1"/>
    </xf>
    <xf numFmtId="0" fontId="66" fillId="17" borderId="8" xfId="1" applyFont="1" applyFill="1" applyBorder="1" applyAlignment="1" applyProtection="1">
      <alignment vertical="center"/>
      <protection hidden="1"/>
    </xf>
    <xf numFmtId="0" fontId="66" fillId="17" borderId="11" xfId="1" applyFont="1" applyFill="1" applyBorder="1" applyAlignment="1" applyProtection="1">
      <alignment vertical="center"/>
      <protection hidden="1"/>
    </xf>
    <xf numFmtId="0" fontId="63" fillId="17" borderId="8" xfId="1" applyFont="1" applyFill="1" applyBorder="1" applyAlignment="1" applyProtection="1">
      <alignment vertical="center"/>
      <protection hidden="1"/>
    </xf>
    <xf numFmtId="0" fontId="65" fillId="17" borderId="10" xfId="1" applyFont="1" applyFill="1" applyBorder="1" applyAlignment="1" applyProtection="1">
      <alignment horizontal="left" vertical="center"/>
      <protection hidden="1"/>
    </xf>
    <xf numFmtId="0" fontId="63" fillId="17" borderId="11" xfId="1" applyFont="1" applyFill="1" applyBorder="1" applyAlignment="1" applyProtection="1">
      <alignment vertical="center"/>
      <protection hidden="1"/>
    </xf>
    <xf numFmtId="0" fontId="64" fillId="17" borderId="11" xfId="1" applyFont="1" applyFill="1" applyBorder="1" applyAlignment="1" applyProtection="1">
      <alignment vertical="center"/>
      <protection hidden="1"/>
    </xf>
    <xf numFmtId="0" fontId="74" fillId="0" borderId="12" xfId="1" applyFont="1" applyBorder="1" applyAlignment="1" applyProtection="1">
      <alignment horizontal="left" vertical="center" shrinkToFit="1"/>
      <protection hidden="1"/>
    </xf>
    <xf numFmtId="0" fontId="75" fillId="0" borderId="12" xfId="1" applyFont="1" applyBorder="1" applyAlignment="1" applyProtection="1">
      <alignment horizontal="left" vertical="center"/>
      <protection hidden="1"/>
    </xf>
    <xf numFmtId="0" fontId="74" fillId="0" borderId="1" xfId="1" applyFont="1" applyBorder="1" applyAlignment="1" applyProtection="1">
      <alignment horizontal="center" vertical="center"/>
      <protection hidden="1"/>
    </xf>
    <xf numFmtId="0" fontId="63" fillId="17" borderId="7" xfId="1" applyFont="1" applyFill="1" applyBorder="1" applyAlignment="1">
      <alignment vertical="center"/>
    </xf>
    <xf numFmtId="0" fontId="54" fillId="9" borderId="55" xfId="0" applyFont="1" applyFill="1" applyBorder="1" applyAlignment="1">
      <alignment horizontal="center" vertical="center" wrapText="1"/>
    </xf>
    <xf numFmtId="0" fontId="54" fillId="9" borderId="56" xfId="0" applyFont="1" applyFill="1" applyBorder="1" applyAlignment="1">
      <alignment horizontal="center" vertical="center" wrapText="1"/>
    </xf>
    <xf numFmtId="0" fontId="76" fillId="0" borderId="10" xfId="1" applyFont="1" applyBorder="1" applyAlignment="1" applyProtection="1">
      <alignment horizontal="left" vertical="center"/>
      <protection hidden="1"/>
    </xf>
    <xf numFmtId="0" fontId="6" fillId="0" borderId="0" xfId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42" fillId="0" borderId="57" xfId="0" applyFont="1" applyBorder="1" applyAlignment="1">
      <alignment vertical="center" wrapText="1"/>
    </xf>
    <xf numFmtId="0" fontId="42" fillId="0" borderId="58" xfId="0" applyFont="1" applyBorder="1" applyAlignment="1">
      <alignment vertical="center" wrapText="1"/>
    </xf>
    <xf numFmtId="0" fontId="42" fillId="0" borderId="59" xfId="0" applyFont="1" applyBorder="1" applyAlignment="1">
      <alignment vertical="center" wrapText="1"/>
    </xf>
    <xf numFmtId="0" fontId="47" fillId="17" borderId="60" xfId="0" applyFont="1" applyFill="1" applyBorder="1" applyAlignment="1">
      <alignment horizontal="center" vertical="center"/>
    </xf>
    <xf numFmtId="0" fontId="47" fillId="17" borderId="61" xfId="0" applyFont="1" applyFill="1" applyBorder="1" applyAlignment="1">
      <alignment horizontal="center" vertical="center"/>
    </xf>
    <xf numFmtId="0" fontId="47" fillId="17" borderId="62" xfId="0" applyFont="1" applyFill="1" applyBorder="1" applyAlignment="1">
      <alignment horizontal="center" vertical="center"/>
    </xf>
    <xf numFmtId="0" fontId="47" fillId="17" borderId="63" xfId="0" applyFont="1" applyFill="1" applyBorder="1" applyAlignment="1">
      <alignment horizontal="left" vertical="center" wrapText="1"/>
    </xf>
    <xf numFmtId="0" fontId="47" fillId="17" borderId="2" xfId="0" applyFont="1" applyFill="1" applyBorder="1" applyAlignment="1">
      <alignment horizontal="left" vertical="center" wrapText="1"/>
    </xf>
    <xf numFmtId="0" fontId="47" fillId="17" borderId="3" xfId="0" applyFont="1" applyFill="1" applyBorder="1" applyAlignment="1">
      <alignment horizontal="left" vertical="center" wrapText="1"/>
    </xf>
    <xf numFmtId="0" fontId="47" fillId="17" borderId="63" xfId="0" applyFont="1" applyFill="1" applyBorder="1" applyAlignment="1">
      <alignment horizontal="center" vertical="center" wrapText="1"/>
    </xf>
    <xf numFmtId="0" fontId="47" fillId="17" borderId="2" xfId="0" applyFont="1" applyFill="1" applyBorder="1" applyAlignment="1">
      <alignment horizontal="center" vertical="center" wrapText="1"/>
    </xf>
    <xf numFmtId="0" fontId="47" fillId="17" borderId="3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2" xfId="0" applyBorder="1" applyAlignment="1">
      <alignment horizontal="center"/>
    </xf>
    <xf numFmtId="0" fontId="1" fillId="18" borderId="63" xfId="0" applyFont="1" applyFill="1" applyBorder="1" applyAlignment="1">
      <alignment horizontal="center" vertical="center" wrapText="1"/>
    </xf>
    <xf numFmtId="0" fontId="1" fillId="18" borderId="2" xfId="0" applyFont="1" applyFill="1" applyBorder="1" applyAlignment="1">
      <alignment horizontal="center" vertical="center" wrapText="1"/>
    </xf>
    <xf numFmtId="0" fontId="1" fillId="18" borderId="89" xfId="0" applyFont="1" applyFill="1" applyBorder="1" applyAlignment="1">
      <alignment horizontal="center" vertical="center" wrapText="1"/>
    </xf>
    <xf numFmtId="49" fontId="47" fillId="17" borderId="64" xfId="1" applyNumberFormat="1" applyFont="1" applyFill="1" applyBorder="1" applyAlignment="1" applyProtection="1">
      <alignment horizontal="center" vertical="center" textRotation="90" shrinkToFit="1"/>
      <protection hidden="1"/>
    </xf>
    <xf numFmtId="49" fontId="47" fillId="17" borderId="65" xfId="1" applyNumberFormat="1" applyFont="1" applyFill="1" applyBorder="1" applyAlignment="1" applyProtection="1">
      <alignment horizontal="center" vertical="center" textRotation="90" shrinkToFit="1"/>
      <protection hidden="1"/>
    </xf>
    <xf numFmtId="49" fontId="47" fillId="17" borderId="41" xfId="1" applyNumberFormat="1" applyFont="1" applyFill="1" applyBorder="1" applyAlignment="1" applyProtection="1">
      <alignment horizontal="center" vertical="center" textRotation="90" shrinkToFit="1"/>
      <protection hidden="1"/>
    </xf>
    <xf numFmtId="0" fontId="20" fillId="0" borderId="9" xfId="1" applyFont="1" applyBorder="1" applyAlignment="1" applyProtection="1">
      <alignment horizontal="center" vertical="center" shrinkToFit="1"/>
      <protection hidden="1"/>
    </xf>
    <xf numFmtId="0" fontId="20" fillId="0" borderId="0" xfId="1" applyFont="1" applyAlignment="1" applyProtection="1">
      <alignment horizontal="center" vertical="center" shrinkToFit="1"/>
      <protection hidden="1"/>
    </xf>
    <xf numFmtId="0" fontId="62" fillId="17" borderId="8" xfId="1" applyFont="1" applyFill="1" applyBorder="1" applyAlignment="1" applyProtection="1">
      <alignment horizontal="left" vertical="center" shrinkToFit="1"/>
      <protection hidden="1"/>
    </xf>
    <xf numFmtId="0" fontId="20" fillId="0" borderId="9" xfId="1" applyFont="1" applyBorder="1" applyAlignment="1" applyProtection="1">
      <alignment horizontal="left" vertical="center" shrinkToFit="1"/>
      <protection hidden="1"/>
    </xf>
    <xf numFmtId="0" fontId="20" fillId="0" borderId="0" xfId="1" applyFont="1" applyAlignment="1" applyProtection="1">
      <alignment horizontal="left" vertical="center" shrinkToFit="1"/>
      <protection hidden="1"/>
    </xf>
    <xf numFmtId="0" fontId="22" fillId="0" borderId="0" xfId="1" applyFont="1" applyAlignment="1" applyProtection="1">
      <alignment horizontal="center" vertical="center" wrapText="1"/>
      <protection hidden="1"/>
    </xf>
    <xf numFmtId="0" fontId="20" fillId="0" borderId="9" xfId="1" applyFont="1" applyBorder="1" applyAlignment="1" applyProtection="1">
      <alignment horizontal="center" vertical="center" wrapText="1" shrinkToFit="1"/>
      <protection hidden="1"/>
    </xf>
    <xf numFmtId="0" fontId="47" fillId="17" borderId="7" xfId="1" applyFont="1" applyFill="1" applyBorder="1" applyAlignment="1" applyProtection="1">
      <alignment horizontal="center" vertical="center" textRotation="90" shrinkToFit="1"/>
      <protection hidden="1"/>
    </xf>
    <xf numFmtId="0" fontId="47" fillId="17" borderId="9" xfId="1" applyFont="1" applyFill="1" applyBorder="1" applyAlignment="1" applyProtection="1">
      <alignment horizontal="center" vertical="center" textRotation="90" shrinkToFit="1"/>
      <protection hidden="1"/>
    </xf>
    <xf numFmtId="0" fontId="16" fillId="0" borderId="9" xfId="1" applyFont="1" applyBorder="1" applyAlignment="1" applyProtection="1">
      <alignment horizontal="left" vertical="center"/>
      <protection hidden="1"/>
    </xf>
    <xf numFmtId="0" fontId="16" fillId="0" borderId="0" xfId="1" applyFont="1" applyAlignment="1" applyProtection="1">
      <alignment horizontal="left" vertical="center"/>
      <protection hidden="1"/>
    </xf>
    <xf numFmtId="0" fontId="13" fillId="0" borderId="0" xfId="1" applyFont="1" applyAlignment="1" applyProtection="1">
      <alignment horizontal="center" vertical="center" wrapText="1"/>
      <protection hidden="1"/>
    </xf>
    <xf numFmtId="0" fontId="20" fillId="0" borderId="9" xfId="1" applyFont="1" applyBorder="1" applyAlignment="1" applyProtection="1">
      <alignment horizontal="left" vertical="center" wrapText="1" shrinkToFit="1"/>
      <protection hidden="1"/>
    </xf>
    <xf numFmtId="0" fontId="20" fillId="0" borderId="0" xfId="1" applyFont="1" applyAlignment="1" applyProtection="1">
      <alignment horizontal="left" vertical="center" wrapText="1" shrinkToFit="1"/>
      <protection hidden="1"/>
    </xf>
    <xf numFmtId="49" fontId="47" fillId="17" borderId="64" xfId="1" applyNumberFormat="1" applyFont="1" applyFill="1" applyBorder="1" applyAlignment="1" applyProtection="1">
      <alignment horizontal="center" vertical="center" textRotation="90"/>
      <protection hidden="1"/>
    </xf>
    <xf numFmtId="49" fontId="47" fillId="17" borderId="65" xfId="1" applyNumberFormat="1" applyFont="1" applyFill="1" applyBorder="1" applyAlignment="1" applyProtection="1">
      <alignment horizontal="center" vertical="center" textRotation="90"/>
      <protection hidden="1"/>
    </xf>
    <xf numFmtId="49" fontId="47" fillId="17" borderId="41" xfId="1" applyNumberFormat="1" applyFont="1" applyFill="1" applyBorder="1" applyAlignment="1" applyProtection="1">
      <alignment horizontal="center" vertical="center" textRotation="90"/>
      <protection hidden="1"/>
    </xf>
    <xf numFmtId="0" fontId="69" fillId="0" borderId="9" xfId="1" applyFont="1" applyBorder="1" applyAlignment="1" applyProtection="1">
      <alignment horizontal="left" vertical="center" wrapText="1"/>
      <protection hidden="1"/>
    </xf>
    <xf numFmtId="0" fontId="69" fillId="0" borderId="0" xfId="1" applyFont="1" applyAlignment="1" applyProtection="1">
      <alignment horizontal="left" vertical="center" wrapText="1"/>
      <protection hidden="1"/>
    </xf>
    <xf numFmtId="0" fontId="21" fillId="0" borderId="0" xfId="1" applyFont="1" applyAlignment="1" applyProtection="1">
      <alignment horizontal="left" vertical="center" shrinkToFit="1"/>
      <protection hidden="1"/>
    </xf>
    <xf numFmtId="0" fontId="69" fillId="0" borderId="13" xfId="1" applyFont="1" applyBorder="1" applyAlignment="1" applyProtection="1">
      <alignment horizontal="left" vertical="center" wrapText="1"/>
      <protection hidden="1"/>
    </xf>
    <xf numFmtId="0" fontId="69" fillId="0" borderId="5" xfId="1" applyFont="1" applyBorder="1" applyAlignment="1" applyProtection="1">
      <alignment horizontal="left" vertical="center" wrapText="1"/>
      <protection hidden="1"/>
    </xf>
    <xf numFmtId="0" fontId="68" fillId="5" borderId="66" xfId="1" applyFont="1" applyFill="1" applyBorder="1" applyAlignment="1" applyProtection="1">
      <alignment horizontal="center" vertical="center" shrinkToFit="1"/>
      <protection hidden="1"/>
    </xf>
    <xf numFmtId="0" fontId="68" fillId="5" borderId="32" xfId="1" applyFont="1" applyFill="1" applyBorder="1" applyAlignment="1" applyProtection="1">
      <alignment horizontal="center" vertical="center" shrinkToFit="1"/>
      <protection hidden="1"/>
    </xf>
    <xf numFmtId="0" fontId="68" fillId="5" borderId="33" xfId="1" applyFont="1" applyFill="1" applyBorder="1" applyAlignment="1" applyProtection="1">
      <alignment horizontal="center" vertical="center" shrinkToFit="1"/>
      <protection hidden="1"/>
    </xf>
    <xf numFmtId="0" fontId="73" fillId="0" borderId="67" xfId="1" applyFont="1" applyBorder="1" applyAlignment="1" applyProtection="1">
      <alignment horizontal="left" vertical="center"/>
      <protection hidden="1"/>
    </xf>
    <xf numFmtId="0" fontId="73" fillId="0" borderId="68" xfId="1" applyFont="1" applyBorder="1" applyAlignment="1" applyProtection="1">
      <alignment horizontal="left" vertical="center"/>
      <protection hidden="1"/>
    </xf>
    <xf numFmtId="0" fontId="46" fillId="3" borderId="69" xfId="1" applyFont="1" applyFill="1" applyBorder="1" applyAlignment="1" applyProtection="1">
      <alignment horizontal="left" vertical="center" shrinkToFit="1"/>
      <protection locked="0"/>
    </xf>
    <xf numFmtId="0" fontId="46" fillId="3" borderId="70" xfId="1" applyFont="1" applyFill="1" applyBorder="1" applyAlignment="1" applyProtection="1">
      <alignment horizontal="left" vertical="center" shrinkToFit="1"/>
      <protection locked="0"/>
    </xf>
    <xf numFmtId="0" fontId="46" fillId="3" borderId="71" xfId="1" applyFont="1" applyFill="1" applyBorder="1" applyAlignment="1" applyProtection="1">
      <alignment horizontal="left" vertical="center" shrinkToFit="1"/>
      <protection locked="0"/>
    </xf>
    <xf numFmtId="0" fontId="46" fillId="3" borderId="72" xfId="1" applyFont="1" applyFill="1" applyBorder="1" applyAlignment="1" applyProtection="1">
      <alignment horizontal="left" vertical="center" shrinkToFit="1"/>
      <protection locked="0"/>
    </xf>
    <xf numFmtId="0" fontId="46" fillId="3" borderId="73" xfId="1" applyFont="1" applyFill="1" applyBorder="1" applyAlignment="1" applyProtection="1">
      <alignment horizontal="left" vertical="center" shrinkToFit="1"/>
      <protection locked="0"/>
    </xf>
    <xf numFmtId="0" fontId="46" fillId="3" borderId="74" xfId="1" applyFont="1" applyFill="1" applyBorder="1" applyAlignment="1" applyProtection="1">
      <alignment horizontal="left" vertical="center" shrinkToFit="1"/>
      <protection locked="0"/>
    </xf>
    <xf numFmtId="0" fontId="47" fillId="17" borderId="64" xfId="1" applyFont="1" applyFill="1" applyBorder="1" applyAlignment="1" applyProtection="1">
      <alignment horizontal="center" vertical="center" textRotation="90" wrapText="1"/>
      <protection hidden="1"/>
    </xf>
    <xf numFmtId="0" fontId="47" fillId="17" borderId="65" xfId="1" applyFont="1" applyFill="1" applyBorder="1" applyAlignment="1" applyProtection="1">
      <alignment horizontal="center" vertical="center" textRotation="90" wrapText="1"/>
      <protection hidden="1"/>
    </xf>
    <xf numFmtId="0" fontId="47" fillId="17" borderId="41" xfId="1" applyFont="1" applyFill="1" applyBorder="1" applyAlignment="1" applyProtection="1">
      <alignment horizontal="center" vertical="center" textRotation="90" wrapText="1"/>
      <protection hidden="1"/>
    </xf>
    <xf numFmtId="0" fontId="71" fillId="0" borderId="75" xfId="1" applyFont="1" applyBorder="1" applyAlignment="1" applyProtection="1">
      <alignment horizontal="center" vertical="center" wrapText="1"/>
      <protection hidden="1"/>
    </xf>
    <xf numFmtId="0" fontId="71" fillId="0" borderId="76" xfId="1" applyFont="1" applyBorder="1" applyAlignment="1" applyProtection="1">
      <alignment horizontal="center" vertical="center" wrapText="1"/>
      <protection hidden="1"/>
    </xf>
    <xf numFmtId="0" fontId="58" fillId="19" borderId="6" xfId="1" applyFont="1" applyFill="1" applyBorder="1" applyAlignment="1">
      <alignment horizontal="center" vertical="center"/>
    </xf>
    <xf numFmtId="0" fontId="58" fillId="19" borderId="3" xfId="1" applyFont="1" applyFill="1" applyBorder="1" applyAlignment="1">
      <alignment horizontal="center" vertical="center"/>
    </xf>
    <xf numFmtId="0" fontId="16" fillId="0" borderId="5" xfId="1" applyFont="1" applyBorder="1" applyAlignment="1" applyProtection="1">
      <alignment horizontal="center" vertical="center"/>
      <protection hidden="1"/>
    </xf>
    <xf numFmtId="0" fontId="56" fillId="0" borderId="75" xfId="1" applyFont="1" applyBorder="1" applyAlignment="1" applyProtection="1">
      <alignment horizontal="left" vertical="center" wrapText="1"/>
      <protection hidden="1"/>
    </xf>
    <xf numFmtId="0" fontId="56" fillId="0" borderId="8" xfId="1" applyFont="1" applyBorder="1" applyAlignment="1" applyProtection="1">
      <alignment horizontal="left" vertical="center" wrapText="1"/>
      <protection hidden="1"/>
    </xf>
    <xf numFmtId="0" fontId="71" fillId="0" borderId="0" xfId="1" applyFont="1" applyAlignment="1" applyProtection="1">
      <alignment horizontal="left" vertical="center" wrapText="1"/>
      <protection hidden="1"/>
    </xf>
    <xf numFmtId="0" fontId="71" fillId="0" borderId="10" xfId="1" applyFont="1" applyBorder="1" applyAlignment="1" applyProtection="1">
      <alignment horizontal="left" vertical="center" wrapText="1"/>
      <protection hidden="1"/>
    </xf>
    <xf numFmtId="0" fontId="21" fillId="0" borderId="0" xfId="1" applyFont="1" applyAlignment="1" applyProtection="1">
      <alignment horizontal="center" vertical="center"/>
      <protection hidden="1"/>
    </xf>
    <xf numFmtId="0" fontId="57" fillId="0" borderId="0" xfId="1" applyFont="1" applyAlignment="1" applyProtection="1">
      <alignment horizontal="center"/>
      <protection hidden="1"/>
    </xf>
    <xf numFmtId="0" fontId="47" fillId="17" borderId="7" xfId="1" applyFont="1" applyFill="1" applyBorder="1" applyAlignment="1" applyProtection="1">
      <alignment horizontal="center" vertical="center" textRotation="90"/>
      <protection hidden="1"/>
    </xf>
    <xf numFmtId="0" fontId="47" fillId="17" borderId="9" xfId="1" applyFont="1" applyFill="1" applyBorder="1" applyAlignment="1" applyProtection="1">
      <alignment horizontal="center" vertical="center" textRotation="90"/>
      <protection hidden="1"/>
    </xf>
    <xf numFmtId="0" fontId="47" fillId="17" borderId="13" xfId="1" applyFont="1" applyFill="1" applyBorder="1" applyAlignment="1" applyProtection="1">
      <alignment horizontal="center" vertical="center" textRotation="90"/>
      <protection hidden="1"/>
    </xf>
    <xf numFmtId="0" fontId="61" fillId="0" borderId="0" xfId="1" applyFont="1" applyAlignment="1" applyProtection="1">
      <alignment horizontal="center" vertical="center" shrinkToFit="1"/>
      <protection hidden="1"/>
    </xf>
    <xf numFmtId="0" fontId="42" fillId="5" borderId="7" xfId="1" applyFont="1" applyFill="1" applyBorder="1" applyAlignment="1" applyProtection="1">
      <alignment horizontal="center" vertical="center" textRotation="90"/>
      <protection hidden="1"/>
    </xf>
    <xf numFmtId="0" fontId="42" fillId="5" borderId="9" xfId="1" applyFont="1" applyFill="1" applyBorder="1" applyAlignment="1" applyProtection="1">
      <alignment horizontal="center" vertical="center" textRotation="90"/>
      <protection hidden="1"/>
    </xf>
    <xf numFmtId="0" fontId="42" fillId="5" borderId="13" xfId="1" applyFont="1" applyFill="1" applyBorder="1" applyAlignment="1" applyProtection="1">
      <alignment horizontal="center" vertical="center" textRotation="90"/>
      <protection hidden="1"/>
    </xf>
    <xf numFmtId="0" fontId="30" fillId="0" borderId="9" xfId="1" applyFont="1" applyBorder="1" applyAlignment="1" applyProtection="1">
      <alignment horizontal="left" vertical="center"/>
      <protection hidden="1"/>
    </xf>
    <xf numFmtId="0" fontId="30" fillId="0" borderId="0" xfId="1" applyFont="1" applyAlignment="1" applyProtection="1">
      <alignment horizontal="left" vertical="center"/>
      <protection hidden="1"/>
    </xf>
    <xf numFmtId="0" fontId="30" fillId="0" borderId="10" xfId="1" applyFont="1" applyBorder="1" applyAlignment="1" applyProtection="1">
      <alignment horizontal="left" vertical="center"/>
      <protection hidden="1"/>
    </xf>
    <xf numFmtId="0" fontId="30" fillId="0" borderId="13" xfId="1" applyFont="1" applyBorder="1" applyAlignment="1" applyProtection="1">
      <alignment horizontal="left" vertical="center"/>
      <protection hidden="1"/>
    </xf>
    <xf numFmtId="0" fontId="30" fillId="0" borderId="5" xfId="1" applyFont="1" applyBorder="1" applyAlignment="1" applyProtection="1">
      <alignment horizontal="left" vertical="center"/>
      <protection hidden="1"/>
    </xf>
    <xf numFmtId="0" fontId="30" fillId="0" borderId="14" xfId="1" applyFont="1" applyBorder="1" applyAlignment="1" applyProtection="1">
      <alignment horizontal="left" vertical="center"/>
      <protection hidden="1"/>
    </xf>
    <xf numFmtId="0" fontId="47" fillId="17" borderId="64" xfId="1" applyFont="1" applyFill="1" applyBorder="1" applyAlignment="1" applyProtection="1">
      <alignment horizontal="center" vertical="center" textRotation="90"/>
      <protection hidden="1"/>
    </xf>
    <xf numFmtId="0" fontId="47" fillId="17" borderId="65" xfId="1" applyFont="1" applyFill="1" applyBorder="1" applyAlignment="1" applyProtection="1">
      <alignment horizontal="center" vertical="center" textRotation="90"/>
      <protection hidden="1"/>
    </xf>
    <xf numFmtId="0" fontId="47" fillId="17" borderId="41" xfId="1" applyFont="1" applyFill="1" applyBorder="1" applyAlignment="1" applyProtection="1">
      <alignment horizontal="center" vertical="center" textRotation="90"/>
      <protection hidden="1"/>
    </xf>
    <xf numFmtId="0" fontId="6" fillId="0" borderId="0" xfId="1" applyAlignment="1" applyProtection="1">
      <alignment horizontal="center" vertical="center"/>
      <protection hidden="1"/>
    </xf>
    <xf numFmtId="0" fontId="15" fillId="0" borderId="0" xfId="1" applyFont="1" applyAlignment="1" applyProtection="1">
      <alignment horizontal="center" vertical="center"/>
      <protection hidden="1"/>
    </xf>
    <xf numFmtId="0" fontId="74" fillId="0" borderId="0" xfId="1" applyFont="1" applyAlignment="1" applyProtection="1">
      <alignment horizontal="center" vertical="center" shrinkToFit="1"/>
      <protection hidden="1"/>
    </xf>
    <xf numFmtId="12" fontId="59" fillId="0" borderId="0" xfId="1" applyNumberFormat="1" applyFont="1" applyAlignment="1" applyProtection="1">
      <alignment horizontal="center" vertical="center" wrapText="1"/>
      <protection hidden="1"/>
    </xf>
    <xf numFmtId="12" fontId="59" fillId="0" borderId="10" xfId="1" applyNumberFormat="1" applyFont="1" applyBorder="1" applyAlignment="1" applyProtection="1">
      <alignment horizontal="center" vertical="center" wrapText="1"/>
      <protection hidden="1"/>
    </xf>
    <xf numFmtId="0" fontId="75" fillId="0" borderId="0" xfId="1" applyFont="1" applyAlignment="1" applyProtection="1">
      <alignment horizontal="center" vertical="center" wrapText="1"/>
      <protection hidden="1"/>
    </xf>
    <xf numFmtId="0" fontId="21" fillId="0" borderId="0" xfId="1" applyFont="1" applyAlignment="1" applyProtection="1">
      <alignment horizontal="center" vertical="center" wrapText="1"/>
      <protection hidden="1"/>
    </xf>
    <xf numFmtId="0" fontId="6" fillId="0" borderId="0" xfId="1" applyAlignment="1" applyProtection="1">
      <alignment horizontal="center" vertical="center" shrinkToFit="1"/>
      <protection hidden="1"/>
    </xf>
    <xf numFmtId="0" fontId="57" fillId="0" borderId="0" xfId="1" applyFont="1" applyAlignment="1" applyProtection="1">
      <alignment horizontal="center" vertical="center"/>
      <protection hidden="1"/>
    </xf>
    <xf numFmtId="0" fontId="6" fillId="7" borderId="7" xfId="1" applyFill="1" applyBorder="1" applyAlignment="1" applyProtection="1">
      <alignment horizontal="center" vertical="center"/>
      <protection hidden="1"/>
    </xf>
    <xf numFmtId="0" fontId="6" fillId="7" borderId="8" xfId="1" applyFill="1" applyBorder="1" applyAlignment="1" applyProtection="1">
      <alignment horizontal="center" vertical="center"/>
      <protection hidden="1"/>
    </xf>
    <xf numFmtId="0" fontId="6" fillId="7" borderId="11" xfId="1" applyFill="1" applyBorder="1" applyAlignment="1" applyProtection="1">
      <alignment horizontal="center" vertical="center"/>
      <protection hidden="1"/>
    </xf>
    <xf numFmtId="0" fontId="70" fillId="17" borderId="66" xfId="1" applyFont="1" applyFill="1" applyBorder="1" applyAlignment="1">
      <alignment horizontal="center"/>
    </xf>
    <xf numFmtId="0" fontId="70" fillId="17" borderId="32" xfId="1" applyFont="1" applyFill="1" applyBorder="1" applyAlignment="1">
      <alignment horizontal="center"/>
    </xf>
    <xf numFmtId="0" fontId="70" fillId="17" borderId="33" xfId="1" applyFont="1" applyFill="1" applyBorder="1" applyAlignment="1">
      <alignment horizontal="center"/>
    </xf>
    <xf numFmtId="0" fontId="6" fillId="7" borderId="1" xfId="1" applyFill="1" applyBorder="1" applyAlignment="1" applyProtection="1">
      <alignment horizontal="center" vertical="center"/>
      <protection hidden="1"/>
    </xf>
    <xf numFmtId="0" fontId="31" fillId="7" borderId="6" xfId="1" applyFont="1" applyFill="1" applyBorder="1" applyAlignment="1" applyProtection="1">
      <alignment horizontal="center" vertical="center"/>
      <protection hidden="1"/>
    </xf>
    <xf numFmtId="0" fontId="31" fillId="7" borderId="2" xfId="1" applyFont="1" applyFill="1" applyBorder="1" applyAlignment="1" applyProtection="1">
      <alignment horizontal="center" vertical="center"/>
      <protection hidden="1"/>
    </xf>
    <xf numFmtId="0" fontId="31" fillId="7" borderId="3" xfId="1" applyFont="1" applyFill="1" applyBorder="1" applyAlignment="1" applyProtection="1">
      <alignment horizontal="center" vertical="center"/>
      <protection hidden="1"/>
    </xf>
    <xf numFmtId="0" fontId="76" fillId="0" borderId="0" xfId="1" applyFont="1" applyAlignment="1" applyProtection="1">
      <alignment horizontal="right" vertical="center"/>
      <protection hidden="1"/>
    </xf>
    <xf numFmtId="0" fontId="21" fillId="0" borderId="0" xfId="1" applyFont="1" applyAlignment="1" applyProtection="1">
      <alignment horizontal="center" vertical="center" shrinkToFit="1"/>
      <protection hidden="1"/>
    </xf>
    <xf numFmtId="0" fontId="21" fillId="0" borderId="9" xfId="1" applyFont="1" applyBorder="1" applyAlignment="1" applyProtection="1">
      <alignment horizontal="center" vertical="center"/>
      <protection hidden="1"/>
    </xf>
    <xf numFmtId="0" fontId="26" fillId="0" borderId="0" xfId="1" applyFont="1" applyAlignment="1" applyProtection="1">
      <alignment horizontal="center" vertical="center"/>
      <protection hidden="1"/>
    </xf>
    <xf numFmtId="0" fontId="16" fillId="0" borderId="0" xfId="1" applyFont="1" applyAlignment="1" applyProtection="1">
      <alignment horizontal="center" vertical="center"/>
      <protection hidden="1"/>
    </xf>
    <xf numFmtId="0" fontId="6" fillId="0" borderId="9" xfId="1" applyBorder="1" applyAlignment="1" applyProtection="1">
      <alignment horizontal="center" vertical="center"/>
      <protection hidden="1"/>
    </xf>
    <xf numFmtId="0" fontId="6" fillId="0" borderId="0" xfId="1" applyAlignment="1">
      <alignment horizontal="center"/>
    </xf>
    <xf numFmtId="0" fontId="50" fillId="9" borderId="10" xfId="1" applyFont="1" applyFill="1" applyBorder="1" applyAlignment="1">
      <alignment horizontal="center" vertical="center" wrapText="1"/>
    </xf>
    <xf numFmtId="0" fontId="50" fillId="9" borderId="17" xfId="1" applyFont="1" applyFill="1" applyBorder="1" applyAlignment="1">
      <alignment horizontal="center" vertical="center" wrapText="1"/>
    </xf>
    <xf numFmtId="0" fontId="50" fillId="9" borderId="13" xfId="1" applyFont="1" applyFill="1" applyBorder="1" applyAlignment="1">
      <alignment horizontal="center" vertical="center" wrapText="1"/>
    </xf>
    <xf numFmtId="0" fontId="50" fillId="9" borderId="5" xfId="1" applyFont="1" applyFill="1" applyBorder="1" applyAlignment="1">
      <alignment horizontal="center" vertical="center" wrapText="1"/>
    </xf>
    <xf numFmtId="0" fontId="6" fillId="0" borderId="18" xfId="1" applyBorder="1" applyAlignment="1">
      <alignment horizontal="center"/>
    </xf>
    <xf numFmtId="0" fontId="42" fillId="0" borderId="0" xfId="0" applyFont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42" fillId="3" borderId="6" xfId="0" applyFont="1" applyFill="1" applyBorder="1" applyAlignment="1">
      <alignment horizontal="left" vertical="center"/>
    </xf>
    <xf numFmtId="0" fontId="42" fillId="3" borderId="2" xfId="0" applyFont="1" applyFill="1" applyBorder="1" applyAlignment="1">
      <alignment horizontal="left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2" fillId="3" borderId="6" xfId="0" applyFont="1" applyFill="1" applyBorder="1" applyAlignment="1">
      <alignment horizontal="center" vertical="center" wrapText="1"/>
    </xf>
    <xf numFmtId="0" fontId="42" fillId="3" borderId="2" xfId="0" applyFont="1" applyFill="1" applyBorder="1" applyAlignment="1">
      <alignment horizontal="center" vertical="center" wrapText="1"/>
    </xf>
    <xf numFmtId="0" fontId="42" fillId="3" borderId="3" xfId="0" applyFont="1" applyFill="1" applyBorder="1" applyAlignment="1">
      <alignment horizontal="center" vertical="center" wrapText="1"/>
    </xf>
    <xf numFmtId="0" fontId="42" fillId="3" borderId="6" xfId="0" applyFont="1" applyFill="1" applyBorder="1" applyAlignment="1">
      <alignment horizontal="left" vertical="center" wrapText="1"/>
    </xf>
    <xf numFmtId="0" fontId="42" fillId="3" borderId="2" xfId="0" applyFont="1" applyFill="1" applyBorder="1" applyAlignment="1">
      <alignment horizontal="left" vertical="center" wrapText="1"/>
    </xf>
    <xf numFmtId="0" fontId="42" fillId="3" borderId="3" xfId="0" applyFont="1" applyFill="1" applyBorder="1" applyAlignment="1">
      <alignment horizontal="left" vertical="center" wrapText="1"/>
    </xf>
    <xf numFmtId="0" fontId="34" fillId="0" borderId="18" xfId="1" applyFont="1" applyBorder="1" applyAlignment="1">
      <alignment horizontal="center" vertical="center"/>
    </xf>
    <xf numFmtId="0" fontId="53" fillId="6" borderId="4" xfId="1" applyFont="1" applyFill="1" applyBorder="1" applyAlignment="1">
      <alignment horizontal="center" vertical="center" wrapText="1"/>
    </xf>
    <xf numFmtId="0" fontId="53" fillId="6" borderId="32" xfId="1" applyFont="1" applyFill="1" applyBorder="1" applyAlignment="1">
      <alignment horizontal="center" vertical="center" wrapText="1"/>
    </xf>
    <xf numFmtId="0" fontId="12" fillId="0" borderId="18" xfId="1" applyFont="1" applyBorder="1" applyAlignment="1">
      <alignment horizontal="center"/>
    </xf>
    <xf numFmtId="0" fontId="53" fillId="20" borderId="4" xfId="1" applyFont="1" applyFill="1" applyBorder="1" applyAlignment="1">
      <alignment horizontal="center" vertical="center"/>
    </xf>
    <xf numFmtId="0" fontId="53" fillId="6" borderId="11" xfId="1" applyFont="1" applyFill="1" applyBorder="1" applyAlignment="1">
      <alignment horizontal="center" vertical="center" wrapText="1"/>
    </xf>
    <xf numFmtId="0" fontId="53" fillId="6" borderId="10" xfId="1" applyFont="1" applyFill="1" applyBorder="1" applyAlignment="1">
      <alignment horizontal="center" vertical="center" wrapText="1"/>
    </xf>
    <xf numFmtId="0" fontId="53" fillId="6" borderId="77" xfId="1" applyFont="1" applyFill="1" applyBorder="1" applyAlignment="1">
      <alignment horizontal="center" vertical="center" wrapText="1"/>
    </xf>
    <xf numFmtId="0" fontId="53" fillId="6" borderId="7" xfId="1" applyFont="1" applyFill="1" applyBorder="1" applyAlignment="1">
      <alignment horizontal="center" vertical="center" wrapText="1"/>
    </xf>
    <xf numFmtId="0" fontId="53" fillId="6" borderId="9" xfId="1" applyFont="1" applyFill="1" applyBorder="1" applyAlignment="1">
      <alignment horizontal="center" vertical="center" wrapText="1"/>
    </xf>
    <xf numFmtId="0" fontId="53" fillId="6" borderId="13" xfId="1" applyFont="1" applyFill="1" applyBorder="1" applyAlignment="1">
      <alignment horizontal="center" vertical="center" wrapText="1"/>
    </xf>
    <xf numFmtId="0" fontId="53" fillId="6" borderId="14" xfId="1" applyFont="1" applyFill="1" applyBorder="1" applyAlignment="1">
      <alignment horizontal="center" vertical="center" wrapText="1"/>
    </xf>
    <xf numFmtId="0" fontId="53" fillId="6" borderId="78" xfId="1" applyFont="1" applyFill="1" applyBorder="1" applyAlignment="1">
      <alignment horizontal="center" vertical="center" wrapText="1"/>
    </xf>
    <xf numFmtId="0" fontId="53" fillId="6" borderId="21" xfId="1" applyFont="1" applyFill="1" applyBorder="1" applyAlignment="1">
      <alignment horizontal="center" vertical="center" wrapText="1"/>
    </xf>
    <xf numFmtId="0" fontId="53" fillId="6" borderId="22" xfId="1" applyFont="1" applyFill="1" applyBorder="1" applyAlignment="1">
      <alignment horizontal="center" vertical="center" wrapText="1"/>
    </xf>
    <xf numFmtId="0" fontId="11" fillId="6" borderId="79" xfId="1" applyFont="1" applyFill="1" applyBorder="1" applyAlignment="1">
      <alignment horizontal="center" vertical="center" wrapText="1"/>
    </xf>
    <xf numFmtId="0" fontId="11" fillId="6" borderId="78" xfId="1" applyFont="1" applyFill="1" applyBorder="1" applyAlignment="1">
      <alignment horizontal="center" vertical="center" wrapText="1"/>
    </xf>
    <xf numFmtId="0" fontId="53" fillId="6" borderId="42" xfId="1" applyFont="1" applyFill="1" applyBorder="1" applyAlignment="1">
      <alignment horizontal="center" vertical="center" wrapText="1"/>
    </xf>
    <xf numFmtId="0" fontId="11" fillId="6" borderId="80" xfId="1" applyFont="1" applyFill="1" applyBorder="1" applyAlignment="1">
      <alignment horizontal="center" vertical="center" wrapText="1"/>
    </xf>
    <xf numFmtId="0" fontId="11" fillId="6" borderId="21" xfId="1" applyFont="1" applyFill="1" applyBorder="1" applyAlignment="1">
      <alignment horizontal="center" vertical="center" wrapText="1"/>
    </xf>
    <xf numFmtId="0" fontId="53" fillId="6" borderId="79" xfId="1" applyFont="1" applyFill="1" applyBorder="1" applyAlignment="1">
      <alignment horizontal="center" vertical="center" wrapText="1"/>
    </xf>
    <xf numFmtId="0" fontId="53" fillId="6" borderId="8" xfId="1" applyFont="1" applyFill="1" applyBorder="1" applyAlignment="1">
      <alignment horizontal="center" vertical="center" wrapText="1"/>
    </xf>
    <xf numFmtId="0" fontId="53" fillId="20" borderId="9" xfId="1" applyFont="1" applyFill="1" applyBorder="1" applyAlignment="1">
      <alignment horizontal="center" vertical="center" wrapText="1"/>
    </xf>
    <xf numFmtId="0" fontId="53" fillId="20" borderId="10" xfId="1" applyFont="1" applyFill="1" applyBorder="1" applyAlignment="1">
      <alignment horizontal="center" vertical="center" wrapText="1"/>
    </xf>
    <xf numFmtId="0" fontId="53" fillId="20" borderId="66" xfId="1" applyFont="1" applyFill="1" applyBorder="1" applyAlignment="1">
      <alignment horizontal="center" vertical="center"/>
    </xf>
    <xf numFmtId="0" fontId="53" fillId="20" borderId="32" xfId="1" applyFont="1" applyFill="1" applyBorder="1" applyAlignment="1">
      <alignment horizontal="center" vertical="center"/>
    </xf>
    <xf numFmtId="0" fontId="6" fillId="6" borderId="81" xfId="1" applyFill="1" applyBorder="1" applyAlignment="1">
      <alignment vertical="center" wrapText="1"/>
    </xf>
    <xf numFmtId="0" fontId="6" fillId="6" borderId="22" xfId="1" applyFill="1" applyBorder="1" applyAlignment="1">
      <alignment vertical="center" wrapText="1"/>
    </xf>
    <xf numFmtId="0" fontId="53" fillId="6" borderId="81" xfId="1" applyFont="1" applyFill="1" applyBorder="1" applyAlignment="1">
      <alignment horizontal="center" vertical="center" wrapText="1"/>
    </xf>
    <xf numFmtId="0" fontId="53" fillId="6" borderId="5" xfId="1" applyFont="1" applyFill="1" applyBorder="1" applyAlignment="1">
      <alignment horizontal="center" vertical="center" wrapText="1"/>
    </xf>
    <xf numFmtId="0" fontId="6" fillId="20" borderId="9" xfId="1" applyFill="1" applyBorder="1" applyAlignment="1">
      <alignment vertical="center" wrapText="1"/>
    </xf>
    <xf numFmtId="0" fontId="6" fillId="20" borderId="10" xfId="1" applyFill="1" applyBorder="1" applyAlignment="1">
      <alignment vertical="center" wrapText="1"/>
    </xf>
    <xf numFmtId="0" fontId="53" fillId="20" borderId="7" xfId="1" applyFont="1" applyFill="1" applyBorder="1" applyAlignment="1">
      <alignment horizontal="center" vertical="center" wrapText="1"/>
    </xf>
    <xf numFmtId="0" fontId="53" fillId="20" borderId="11" xfId="1" applyFont="1" applyFill="1" applyBorder="1" applyAlignment="1">
      <alignment horizontal="center" vertical="center" wrapText="1"/>
    </xf>
    <xf numFmtId="0" fontId="53" fillId="20" borderId="13" xfId="1" applyFont="1" applyFill="1" applyBorder="1" applyAlignment="1">
      <alignment horizontal="center" vertical="center" wrapText="1"/>
    </xf>
    <xf numFmtId="0" fontId="53" fillId="20" borderId="14" xfId="1" applyFont="1" applyFill="1" applyBorder="1" applyAlignment="1">
      <alignment horizontal="center" vertical="center" wrapText="1"/>
    </xf>
    <xf numFmtId="0" fontId="53" fillId="20" borderId="8" xfId="1" applyFont="1" applyFill="1" applyBorder="1" applyAlignment="1">
      <alignment horizontal="center" vertical="center" wrapText="1"/>
    </xf>
    <xf numFmtId="0" fontId="53" fillId="20" borderId="5" xfId="1" applyFont="1" applyFill="1" applyBorder="1" applyAlignment="1">
      <alignment horizontal="center" vertical="center" wrapText="1"/>
    </xf>
    <xf numFmtId="0" fontId="54" fillId="0" borderId="66" xfId="1" applyFont="1" applyBorder="1" applyAlignment="1">
      <alignment horizontal="center" vertical="center" wrapText="1"/>
    </xf>
    <xf numFmtId="0" fontId="54" fillId="0" borderId="82" xfId="1" applyFont="1" applyBorder="1" applyAlignment="1">
      <alignment horizontal="center" vertical="center" wrapText="1"/>
    </xf>
    <xf numFmtId="0" fontId="6" fillId="0" borderId="66" xfId="1" applyBorder="1" applyAlignment="1">
      <alignment horizontal="center" vertical="center" wrapText="1"/>
    </xf>
    <xf numFmtId="0" fontId="6" fillId="0" borderId="33" xfId="1" applyBorder="1" applyAlignment="1">
      <alignment horizontal="center" vertical="center" wrapText="1"/>
    </xf>
    <xf numFmtId="0" fontId="6" fillId="0" borderId="32" xfId="1" applyBorder="1" applyAlignment="1">
      <alignment horizontal="center" vertical="center" wrapText="1"/>
    </xf>
    <xf numFmtId="0" fontId="6" fillId="0" borderId="42" xfId="1" applyBorder="1" applyAlignment="1">
      <alignment horizontal="center" vertical="center" wrapText="1"/>
    </xf>
    <xf numFmtId="0" fontId="6" fillId="0" borderId="82" xfId="1" applyBorder="1" applyAlignment="1">
      <alignment horizontal="center" vertical="center" wrapText="1"/>
    </xf>
    <xf numFmtId="0" fontId="54" fillId="0" borderId="42" xfId="1" applyFont="1" applyBorder="1" applyAlignment="1">
      <alignment horizontal="center" vertical="center" wrapText="1"/>
    </xf>
    <xf numFmtId="0" fontId="54" fillId="0" borderId="32" xfId="1" applyFont="1" applyBorder="1" applyAlignment="1">
      <alignment horizontal="center" vertical="center" wrapText="1"/>
    </xf>
    <xf numFmtId="0" fontId="54" fillId="14" borderId="66" xfId="1" applyFont="1" applyFill="1" applyBorder="1" applyAlignment="1">
      <alignment horizontal="center" vertical="center" wrapText="1"/>
    </xf>
    <xf numFmtId="0" fontId="54" fillId="14" borderId="82" xfId="1" applyFont="1" applyFill="1" applyBorder="1" applyAlignment="1">
      <alignment horizontal="center" vertical="center" wrapText="1"/>
    </xf>
    <xf numFmtId="0" fontId="6" fillId="14" borderId="42" xfId="1" applyFill="1" applyBorder="1" applyAlignment="1">
      <alignment horizontal="center" vertical="center" wrapText="1"/>
    </xf>
    <xf numFmtId="0" fontId="6" fillId="14" borderId="82" xfId="1" applyFill="1" applyBorder="1" applyAlignment="1">
      <alignment horizontal="center" vertical="center" wrapText="1"/>
    </xf>
    <xf numFmtId="0" fontId="54" fillId="14" borderId="42" xfId="1" applyFont="1" applyFill="1" applyBorder="1" applyAlignment="1">
      <alignment horizontal="center" vertical="center" wrapText="1"/>
    </xf>
    <xf numFmtId="0" fontId="54" fillId="14" borderId="32" xfId="1" applyFont="1" applyFill="1" applyBorder="1" applyAlignment="1">
      <alignment horizontal="center" vertical="center" wrapText="1"/>
    </xf>
    <xf numFmtId="0" fontId="6" fillId="20" borderId="13" xfId="1" applyFill="1" applyBorder="1" applyAlignment="1">
      <alignment vertical="center" wrapText="1"/>
    </xf>
    <xf numFmtId="0" fontId="6" fillId="20" borderId="14" xfId="1" applyFill="1" applyBorder="1" applyAlignment="1">
      <alignment vertical="center" wrapText="1"/>
    </xf>
    <xf numFmtId="0" fontId="6" fillId="10" borderId="42" xfId="1" applyFill="1" applyBorder="1" applyAlignment="1">
      <alignment horizontal="center" vertical="center" wrapText="1"/>
    </xf>
    <xf numFmtId="0" fontId="6" fillId="10" borderId="82" xfId="1" applyFill="1" applyBorder="1" applyAlignment="1">
      <alignment horizontal="center" vertical="center" wrapText="1"/>
    </xf>
    <xf numFmtId="0" fontId="54" fillId="0" borderId="7" xfId="1" applyFont="1" applyBorder="1" applyAlignment="1">
      <alignment horizontal="center" vertical="center"/>
    </xf>
    <xf numFmtId="0" fontId="54" fillId="0" borderId="11" xfId="1" applyFont="1" applyBorder="1" applyAlignment="1">
      <alignment horizontal="center" vertical="center"/>
    </xf>
    <xf numFmtId="0" fontId="54" fillId="0" borderId="9" xfId="1" applyFont="1" applyBorder="1" applyAlignment="1">
      <alignment horizontal="center" vertical="center"/>
    </xf>
    <xf numFmtId="0" fontId="54" fillId="0" borderId="10" xfId="1" applyFont="1" applyBorder="1" applyAlignment="1">
      <alignment horizontal="center" vertical="center"/>
    </xf>
    <xf numFmtId="0" fontId="53" fillId="6" borderId="80" xfId="1" applyFont="1" applyFill="1" applyBorder="1" applyAlignment="1">
      <alignment horizontal="center" vertical="center" wrapText="1"/>
    </xf>
    <xf numFmtId="0" fontId="53" fillId="20" borderId="64" xfId="1" applyFont="1" applyFill="1" applyBorder="1" applyAlignment="1">
      <alignment horizontal="center" vertical="center" wrapText="1"/>
    </xf>
    <xf numFmtId="0" fontId="53" fillId="20" borderId="65" xfId="1" applyFont="1" applyFill="1" applyBorder="1" applyAlignment="1">
      <alignment horizontal="center" vertical="center" wrapText="1"/>
    </xf>
    <xf numFmtId="0" fontId="53" fillId="20" borderId="41" xfId="1" applyFont="1" applyFill="1" applyBorder="1" applyAlignment="1">
      <alignment horizontal="center" vertical="center" wrapText="1"/>
    </xf>
    <xf numFmtId="0" fontId="6" fillId="6" borderId="80" xfId="1" applyFill="1" applyBorder="1" applyAlignment="1">
      <alignment vertical="center" wrapText="1"/>
    </xf>
    <xf numFmtId="0" fontId="6" fillId="6" borderId="21" xfId="1" applyFill="1" applyBorder="1" applyAlignment="1">
      <alignment vertical="center" wrapText="1"/>
    </xf>
    <xf numFmtId="0" fontId="54" fillId="0" borderId="7" xfId="1" applyFont="1" applyBorder="1" applyAlignment="1">
      <alignment horizontal="center" vertical="center" wrapText="1"/>
    </xf>
    <xf numFmtId="0" fontId="54" fillId="0" borderId="11" xfId="1" applyFont="1" applyBorder="1" applyAlignment="1">
      <alignment horizontal="center" vertical="center" wrapText="1"/>
    </xf>
    <xf numFmtId="0" fontId="54" fillId="0" borderId="9" xfId="1" applyFont="1" applyBorder="1" applyAlignment="1">
      <alignment horizontal="center" vertical="center" wrapText="1"/>
    </xf>
    <xf numFmtId="0" fontId="54" fillId="0" borderId="10" xfId="1" applyFont="1" applyBorder="1" applyAlignment="1">
      <alignment horizontal="center" vertical="center" wrapText="1"/>
    </xf>
    <xf numFmtId="0" fontId="6" fillId="14" borderId="66" xfId="1" applyFill="1" applyBorder="1" applyAlignment="1">
      <alignment horizontal="center" vertical="center" wrapText="1"/>
    </xf>
    <xf numFmtId="0" fontId="6" fillId="14" borderId="33" xfId="1" applyFill="1" applyBorder="1" applyAlignment="1">
      <alignment horizontal="center" vertical="center" wrapText="1"/>
    </xf>
    <xf numFmtId="0" fontId="6" fillId="0" borderId="83" xfId="1" applyBorder="1" applyAlignment="1">
      <alignment horizontal="center" vertical="center" wrapText="1"/>
    </xf>
    <xf numFmtId="0" fontId="6" fillId="0" borderId="84" xfId="1" applyBorder="1" applyAlignment="1">
      <alignment horizontal="center" vertical="center" wrapText="1"/>
    </xf>
    <xf numFmtId="0" fontId="53" fillId="20" borderId="33" xfId="1" applyFont="1" applyFill="1" applyBorder="1" applyAlignment="1">
      <alignment horizontal="center" vertical="center"/>
    </xf>
    <xf numFmtId="0" fontId="6" fillId="10" borderId="66" xfId="1" applyFill="1" applyBorder="1" applyAlignment="1">
      <alignment horizontal="center" vertical="center" wrapText="1"/>
    </xf>
    <xf numFmtId="0" fontId="54" fillId="0" borderId="64" xfId="1" applyFont="1" applyBorder="1" applyAlignment="1">
      <alignment horizontal="center" vertical="center"/>
    </xf>
    <xf numFmtId="0" fontId="54" fillId="0" borderId="65" xfId="1" applyFont="1" applyBorder="1" applyAlignment="1">
      <alignment horizontal="center" vertical="center"/>
    </xf>
    <xf numFmtId="0" fontId="54" fillId="0" borderId="85" xfId="1" applyFont="1" applyBorder="1" applyAlignment="1">
      <alignment horizontal="center" vertical="center"/>
    </xf>
    <xf numFmtId="0" fontId="54" fillId="0" borderId="64" xfId="1" applyFont="1" applyBorder="1" applyAlignment="1">
      <alignment horizontal="center" vertical="center" wrapText="1"/>
    </xf>
    <xf numFmtId="0" fontId="54" fillId="0" borderId="65" xfId="1" applyFont="1" applyBorder="1" applyAlignment="1">
      <alignment horizontal="center" vertical="center" wrapText="1"/>
    </xf>
    <xf numFmtId="0" fontId="54" fillId="0" borderId="85" xfId="1" applyFont="1" applyBorder="1" applyAlignment="1">
      <alignment horizontal="center" vertical="center" wrapText="1"/>
    </xf>
    <xf numFmtId="0" fontId="6" fillId="10" borderId="43" xfId="1" applyFill="1" applyBorder="1" applyAlignment="1">
      <alignment horizontal="center" vertical="center" wrapText="1"/>
    </xf>
    <xf numFmtId="0" fontId="6" fillId="10" borderId="86" xfId="1" applyFill="1" applyBorder="1" applyAlignment="1">
      <alignment horizontal="center" vertical="center" wrapText="1"/>
    </xf>
    <xf numFmtId="0" fontId="6" fillId="10" borderId="83" xfId="1" applyFill="1" applyBorder="1" applyAlignment="1">
      <alignment horizontal="center" vertical="center" wrapText="1"/>
    </xf>
    <xf numFmtId="49" fontId="29" fillId="0" borderId="66" xfId="1" applyNumberFormat="1" applyFont="1" applyBorder="1" applyAlignment="1">
      <alignment horizontal="center" vertical="center"/>
    </xf>
    <xf numFmtId="0" fontId="6" fillId="0" borderId="32" xfId="1" applyBorder="1"/>
    <xf numFmtId="0" fontId="6" fillId="0" borderId="33" xfId="1" applyBorder="1"/>
    <xf numFmtId="0" fontId="11" fillId="21" borderId="7" xfId="1" applyFont="1" applyFill="1" applyBorder="1" applyAlignment="1" applyProtection="1">
      <alignment horizontal="center" vertical="center"/>
      <protection hidden="1"/>
    </xf>
    <xf numFmtId="0" fontId="11" fillId="21" borderId="11" xfId="1" applyFont="1" applyFill="1" applyBorder="1" applyAlignment="1" applyProtection="1">
      <alignment horizontal="center" vertical="center"/>
      <protection hidden="1"/>
    </xf>
    <xf numFmtId="0" fontId="53" fillId="0" borderId="32" xfId="1" applyFont="1" applyBorder="1" applyAlignment="1">
      <alignment vertical="center" wrapText="1"/>
    </xf>
    <xf numFmtId="0" fontId="53" fillId="6" borderId="87" xfId="1" applyFont="1" applyFill="1" applyBorder="1" applyAlignment="1">
      <alignment horizontal="center" vertical="center" wrapText="1"/>
    </xf>
    <xf numFmtId="0" fontId="53" fillId="6" borderId="88" xfId="1" applyFont="1" applyFill="1" applyBorder="1" applyAlignment="1">
      <alignment horizontal="center" vertical="center" wrapText="1"/>
    </xf>
    <xf numFmtId="0" fontId="39" fillId="0" borderId="66" xfId="1" applyFont="1" applyBorder="1" applyAlignment="1">
      <alignment horizontal="justify" vertical="center" wrapText="1"/>
    </xf>
    <xf numFmtId="0" fontId="39" fillId="0" borderId="32" xfId="1" applyFont="1" applyBorder="1" applyAlignment="1">
      <alignment horizontal="justify" vertical="center" wrapText="1"/>
    </xf>
    <xf numFmtId="0" fontId="11" fillId="0" borderId="32" xfId="1" applyFont="1" applyBorder="1" applyAlignment="1">
      <alignment vertical="center" wrapText="1"/>
    </xf>
    <xf numFmtId="0" fontId="11" fillId="6" borderId="66" xfId="1" applyFont="1" applyFill="1" applyBorder="1" applyAlignment="1">
      <alignment horizontal="center" vertical="center" wrapText="1"/>
    </xf>
    <xf numFmtId="0" fontId="11" fillId="6" borderId="32" xfId="1" applyFont="1" applyFill="1" applyBorder="1" applyAlignment="1">
      <alignment horizontal="center" vertical="center" wrapText="1"/>
    </xf>
    <xf numFmtId="0" fontId="6" fillId="0" borderId="44" xfId="1" applyBorder="1" applyAlignment="1">
      <alignment horizontal="center" vertical="center" wrapText="1"/>
    </xf>
    <xf numFmtId="49" fontId="29" fillId="0" borderId="33" xfId="1" applyNumberFormat="1" applyFont="1" applyBorder="1" applyAlignment="1">
      <alignment horizontal="center" vertical="center"/>
    </xf>
  </cellXfs>
  <cellStyles count="5">
    <cellStyle name="Hiperlink" xfId="4" builtinId="8"/>
    <cellStyle name="Normal" xfId="0" builtinId="0"/>
    <cellStyle name="Normal 2" xfId="1"/>
    <cellStyle name="Normal 3" xfId="2"/>
    <cellStyle name="Vírgula" xfId="3" builtinId="3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eg"/><Relationship Id="rId3" Type="http://schemas.openxmlformats.org/officeDocument/2006/relationships/image" Target="../media/image4.jpeg"/><Relationship Id="rId7" Type="http://schemas.openxmlformats.org/officeDocument/2006/relationships/image" Target="../media/image8.png"/><Relationship Id="rId2" Type="http://schemas.openxmlformats.org/officeDocument/2006/relationships/image" Target="../media/image3.jpe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CONFIGURA&#199;&#213;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CONFIGURA&#199;&#213;ES!A1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12.wmf"/><Relationship Id="rId1" Type="http://schemas.openxmlformats.org/officeDocument/2006/relationships/image" Target="../media/image1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57150</xdr:colOff>
      <xdr:row>27</xdr:row>
      <xdr:rowOff>38100</xdr:rowOff>
    </xdr:from>
    <xdr:to>
      <xdr:col>2</xdr:col>
      <xdr:colOff>1180350</xdr:colOff>
      <xdr:row>27</xdr:row>
      <xdr:rowOff>285750</xdr:rowOff>
    </xdr:to>
    <xdr:sp macro="" textlink="">
      <xdr:nvSpPr>
        <xdr:cNvPr id="17528" name="Rectangle 3287">
          <a:extLst>
            <a:ext uri="{FF2B5EF4-FFF2-40B4-BE49-F238E27FC236}">
              <a16:creationId xmlns:a16="http://schemas.microsoft.com/office/drawing/2014/main" id="{00000000-0008-0000-0100-000078440000}"/>
            </a:ext>
          </a:extLst>
        </xdr:cNvPr>
        <xdr:cNvSpPr>
          <a:spLocks noChangeArrowheads="1"/>
        </xdr:cNvSpPr>
      </xdr:nvSpPr>
      <xdr:spPr bwMode="auto">
        <a:xfrm>
          <a:off x="1866900" y="5391150"/>
          <a:ext cx="1123950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</xdr:col>
      <xdr:colOff>28575</xdr:colOff>
      <xdr:row>118</xdr:row>
      <xdr:rowOff>9526</xdr:rowOff>
    </xdr:from>
    <xdr:to>
      <xdr:col>8</xdr:col>
      <xdr:colOff>809625</xdr:colOff>
      <xdr:row>134</xdr:row>
      <xdr:rowOff>123826</xdr:rowOff>
    </xdr:to>
    <xdr:pic>
      <xdr:nvPicPr>
        <xdr:cNvPr id="17475" name="Imagem 1" descr="image004">
          <a:extLst>
            <a:ext uri="{FF2B5EF4-FFF2-40B4-BE49-F238E27FC236}">
              <a16:creationId xmlns:a16="http://schemas.microsoft.com/office/drawing/2014/main" id="{00000000-0008-0000-0100-000043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 l="5407" t="6103" r="1577" b="5828"/>
        <a:stretch>
          <a:fillRect/>
        </a:stretch>
      </xdr:blipFill>
      <xdr:spPr bwMode="auto">
        <a:xfrm>
          <a:off x="247650" y="15268575"/>
          <a:ext cx="7810500" cy="2943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457200</xdr:colOff>
      <xdr:row>71</xdr:row>
      <xdr:rowOff>0</xdr:rowOff>
    </xdr:from>
    <xdr:to>
      <xdr:col>8</xdr:col>
      <xdr:colOff>266700</xdr:colOff>
      <xdr:row>71</xdr:row>
      <xdr:rowOff>0</xdr:rowOff>
    </xdr:to>
    <xdr:grpSp>
      <xdr:nvGrpSpPr>
        <xdr:cNvPr id="17476" name="Group 465">
          <a:extLst>
            <a:ext uri="{FF2B5EF4-FFF2-40B4-BE49-F238E27FC236}">
              <a16:creationId xmlns:a16="http://schemas.microsoft.com/office/drawing/2014/main" id="{00000000-0008-0000-0100-000044440000}"/>
            </a:ext>
          </a:extLst>
        </xdr:cNvPr>
        <xdr:cNvGrpSpPr>
          <a:grpSpLocks/>
        </xdr:cNvGrpSpPr>
      </xdr:nvGrpSpPr>
      <xdr:grpSpPr bwMode="auto">
        <a:xfrm>
          <a:off x="6429375" y="14201775"/>
          <a:ext cx="1085850" cy="0"/>
          <a:chOff x="4762500" y="18040350"/>
          <a:chExt cx="933450" cy="0"/>
        </a:xfrm>
      </xdr:grpSpPr>
      <xdr:sp macro="" textlink="">
        <xdr:nvSpPr>
          <xdr:cNvPr id="17551" name="Line 60">
            <a:extLst>
              <a:ext uri="{FF2B5EF4-FFF2-40B4-BE49-F238E27FC236}">
                <a16:creationId xmlns:a16="http://schemas.microsoft.com/office/drawing/2014/main" id="{00000000-0008-0000-0100-00008F4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95" y="1484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7552" name="Line 61">
            <a:extLst>
              <a:ext uri="{FF2B5EF4-FFF2-40B4-BE49-F238E27FC236}">
                <a16:creationId xmlns:a16="http://schemas.microsoft.com/office/drawing/2014/main" id="{00000000-0008-0000-0100-0000904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550" y="1484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7553" name="Line 65">
            <a:extLst>
              <a:ext uri="{FF2B5EF4-FFF2-40B4-BE49-F238E27FC236}">
                <a16:creationId xmlns:a16="http://schemas.microsoft.com/office/drawing/2014/main" id="{00000000-0008-0000-0100-0000914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79" y="1484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7554" name="Line 66">
            <a:extLst>
              <a:ext uri="{FF2B5EF4-FFF2-40B4-BE49-F238E27FC236}">
                <a16:creationId xmlns:a16="http://schemas.microsoft.com/office/drawing/2014/main" id="{00000000-0008-0000-0100-0000924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566" y="1484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7555" name="Line 67">
            <a:extLst>
              <a:ext uri="{FF2B5EF4-FFF2-40B4-BE49-F238E27FC236}">
                <a16:creationId xmlns:a16="http://schemas.microsoft.com/office/drawing/2014/main" id="{00000000-0008-0000-0100-0000934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550" y="1484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7556" name="Line 68">
            <a:extLst>
              <a:ext uri="{FF2B5EF4-FFF2-40B4-BE49-F238E27FC236}">
                <a16:creationId xmlns:a16="http://schemas.microsoft.com/office/drawing/2014/main" id="{00000000-0008-0000-0100-0000944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495" y="1484"/>
            <a:ext cx="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2</xdr:col>
      <xdr:colOff>1076325</xdr:colOff>
      <xdr:row>130</xdr:row>
      <xdr:rowOff>133350</xdr:rowOff>
    </xdr:from>
    <xdr:to>
      <xdr:col>2</xdr:col>
      <xdr:colOff>1276350</xdr:colOff>
      <xdr:row>132</xdr:row>
      <xdr:rowOff>57150</xdr:rowOff>
    </xdr:to>
    <xdr:sp macro="" textlink="">
      <xdr:nvSpPr>
        <xdr:cNvPr id="17477" name="Line 298">
          <a:extLst>
            <a:ext uri="{FF2B5EF4-FFF2-40B4-BE49-F238E27FC236}">
              <a16:creationId xmlns:a16="http://schemas.microsoft.com/office/drawing/2014/main" id="{00000000-0008-0000-0100-000045440000}"/>
            </a:ext>
          </a:extLst>
        </xdr:cNvPr>
        <xdr:cNvSpPr>
          <a:spLocks noChangeShapeType="1"/>
        </xdr:cNvSpPr>
      </xdr:nvSpPr>
      <xdr:spPr bwMode="auto">
        <a:xfrm flipH="1">
          <a:off x="2886075" y="17506950"/>
          <a:ext cx="200025" cy="247650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714375</xdr:colOff>
      <xdr:row>122</xdr:row>
      <xdr:rowOff>9525</xdr:rowOff>
    </xdr:from>
    <xdr:to>
      <xdr:col>5</xdr:col>
      <xdr:colOff>838200</xdr:colOff>
      <xdr:row>125</xdr:row>
      <xdr:rowOff>142875</xdr:rowOff>
    </xdr:to>
    <xdr:sp macro="" textlink="">
      <xdr:nvSpPr>
        <xdr:cNvPr id="17478" name="Line 307">
          <a:extLst>
            <a:ext uri="{FF2B5EF4-FFF2-40B4-BE49-F238E27FC236}">
              <a16:creationId xmlns:a16="http://schemas.microsoft.com/office/drawing/2014/main" id="{00000000-0008-0000-0100-000046440000}"/>
            </a:ext>
          </a:extLst>
        </xdr:cNvPr>
        <xdr:cNvSpPr>
          <a:spLocks noChangeShapeType="1"/>
        </xdr:cNvSpPr>
      </xdr:nvSpPr>
      <xdr:spPr bwMode="auto">
        <a:xfrm flipV="1">
          <a:off x="5715000" y="15982950"/>
          <a:ext cx="123825" cy="657225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130</xdr:row>
      <xdr:rowOff>95250</xdr:rowOff>
    </xdr:from>
    <xdr:to>
      <xdr:col>4</xdr:col>
      <xdr:colOff>161925</xdr:colOff>
      <xdr:row>132</xdr:row>
      <xdr:rowOff>66675</xdr:rowOff>
    </xdr:to>
    <xdr:sp macro="" textlink="">
      <xdr:nvSpPr>
        <xdr:cNvPr id="17479" name="Line 314">
          <a:extLst>
            <a:ext uri="{FF2B5EF4-FFF2-40B4-BE49-F238E27FC236}">
              <a16:creationId xmlns:a16="http://schemas.microsoft.com/office/drawing/2014/main" id="{00000000-0008-0000-0100-000047440000}"/>
            </a:ext>
          </a:extLst>
        </xdr:cNvPr>
        <xdr:cNvSpPr>
          <a:spLocks noChangeShapeType="1"/>
        </xdr:cNvSpPr>
      </xdr:nvSpPr>
      <xdr:spPr bwMode="auto">
        <a:xfrm>
          <a:off x="3981450" y="17468850"/>
          <a:ext cx="152400" cy="295275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1115786</xdr:colOff>
      <xdr:row>117</xdr:row>
      <xdr:rowOff>13607</xdr:rowOff>
    </xdr:from>
    <xdr:to>
      <xdr:col>2</xdr:col>
      <xdr:colOff>1219199</xdr:colOff>
      <xdr:row>118</xdr:row>
      <xdr:rowOff>19050</xdr:rowOff>
    </xdr:to>
    <xdr:sp macro="" textlink="">
      <xdr:nvSpPr>
        <xdr:cNvPr id="17480" name="Line 315">
          <a:extLst>
            <a:ext uri="{FF2B5EF4-FFF2-40B4-BE49-F238E27FC236}">
              <a16:creationId xmlns:a16="http://schemas.microsoft.com/office/drawing/2014/main" id="{00000000-0008-0000-0100-000048440000}"/>
            </a:ext>
          </a:extLst>
        </xdr:cNvPr>
        <xdr:cNvSpPr>
          <a:spLocks noChangeShapeType="1"/>
        </xdr:cNvSpPr>
      </xdr:nvSpPr>
      <xdr:spPr bwMode="auto">
        <a:xfrm flipH="1" flipV="1">
          <a:off x="2924175" y="15078075"/>
          <a:ext cx="104775" cy="200025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590550</xdr:colOff>
      <xdr:row>106</xdr:row>
      <xdr:rowOff>0</xdr:rowOff>
    </xdr:from>
    <xdr:to>
      <xdr:col>8</xdr:col>
      <xdr:colOff>409575</xdr:colOff>
      <xdr:row>106</xdr:row>
      <xdr:rowOff>0</xdr:rowOff>
    </xdr:to>
    <xdr:sp macro="" textlink="">
      <xdr:nvSpPr>
        <xdr:cNvPr id="17481" name="AutoShape 318">
          <a:extLst>
            <a:ext uri="{FF2B5EF4-FFF2-40B4-BE49-F238E27FC236}">
              <a16:creationId xmlns:a16="http://schemas.microsoft.com/office/drawing/2014/main" id="{00000000-0008-0000-0100-000049440000}"/>
            </a:ext>
          </a:extLst>
        </xdr:cNvPr>
        <xdr:cNvSpPr>
          <a:spLocks noChangeArrowheads="1"/>
        </xdr:cNvSpPr>
      </xdr:nvSpPr>
      <xdr:spPr bwMode="auto">
        <a:xfrm flipH="1">
          <a:off x="2400300" y="14201775"/>
          <a:ext cx="5257800" cy="0"/>
        </a:xfrm>
        <a:prstGeom prst="cube">
          <a:avLst>
            <a:gd name="adj" fmla="val 70690"/>
          </a:avLst>
        </a:prstGeom>
        <a:noFill/>
        <a:ln w="9525">
          <a:solidFill>
            <a:srgbClr val="000000"/>
          </a:solidFill>
          <a:miter lim="800000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428625</xdr:colOff>
      <xdr:row>106</xdr:row>
      <xdr:rowOff>0</xdr:rowOff>
    </xdr:from>
    <xdr:to>
      <xdr:col>5</xdr:col>
      <xdr:colOff>428625</xdr:colOff>
      <xdr:row>106</xdr:row>
      <xdr:rowOff>0</xdr:rowOff>
    </xdr:to>
    <xdr:sp macro="" textlink="">
      <xdr:nvSpPr>
        <xdr:cNvPr id="17482" name="Line 320">
          <a:extLst>
            <a:ext uri="{FF2B5EF4-FFF2-40B4-BE49-F238E27FC236}">
              <a16:creationId xmlns:a16="http://schemas.microsoft.com/office/drawing/2014/main" id="{00000000-0008-0000-0100-00004A440000}"/>
            </a:ext>
          </a:extLst>
        </xdr:cNvPr>
        <xdr:cNvSpPr>
          <a:spLocks noChangeShapeType="1"/>
        </xdr:cNvSpPr>
      </xdr:nvSpPr>
      <xdr:spPr bwMode="auto">
        <a:xfrm>
          <a:off x="5429250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209550</xdr:colOff>
      <xdr:row>106</xdr:row>
      <xdr:rowOff>0</xdr:rowOff>
    </xdr:from>
    <xdr:to>
      <xdr:col>5</xdr:col>
      <xdr:colOff>400050</xdr:colOff>
      <xdr:row>106</xdr:row>
      <xdr:rowOff>0</xdr:rowOff>
    </xdr:to>
    <xdr:sp macro="" textlink="">
      <xdr:nvSpPr>
        <xdr:cNvPr id="17483" name="Line 321">
          <a:extLst>
            <a:ext uri="{FF2B5EF4-FFF2-40B4-BE49-F238E27FC236}">
              <a16:creationId xmlns:a16="http://schemas.microsoft.com/office/drawing/2014/main" id="{00000000-0008-0000-0100-00004B440000}"/>
            </a:ext>
          </a:extLst>
        </xdr:cNvPr>
        <xdr:cNvSpPr>
          <a:spLocks noChangeShapeType="1"/>
        </xdr:cNvSpPr>
      </xdr:nvSpPr>
      <xdr:spPr bwMode="auto">
        <a:xfrm>
          <a:off x="5210175" y="1420177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428625</xdr:colOff>
      <xdr:row>153</xdr:row>
      <xdr:rowOff>0</xdr:rowOff>
    </xdr:from>
    <xdr:to>
      <xdr:col>8</xdr:col>
      <xdr:colOff>428625</xdr:colOff>
      <xdr:row>153</xdr:row>
      <xdr:rowOff>0</xdr:rowOff>
    </xdr:to>
    <xdr:sp macro="" textlink="">
      <xdr:nvSpPr>
        <xdr:cNvPr id="17484" name="Line 322">
          <a:extLst>
            <a:ext uri="{FF2B5EF4-FFF2-40B4-BE49-F238E27FC236}">
              <a16:creationId xmlns:a16="http://schemas.microsoft.com/office/drawing/2014/main" id="{00000000-0008-0000-0100-00004C440000}"/>
            </a:ext>
          </a:extLst>
        </xdr:cNvPr>
        <xdr:cNvSpPr>
          <a:spLocks noChangeShapeType="1"/>
        </xdr:cNvSpPr>
      </xdr:nvSpPr>
      <xdr:spPr bwMode="auto">
        <a:xfrm>
          <a:off x="7677150" y="19459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1400175</xdr:colOff>
      <xdr:row>106</xdr:row>
      <xdr:rowOff>0</xdr:rowOff>
    </xdr:from>
    <xdr:to>
      <xdr:col>2</xdr:col>
      <xdr:colOff>1400175</xdr:colOff>
      <xdr:row>106</xdr:row>
      <xdr:rowOff>0</xdr:rowOff>
    </xdr:to>
    <xdr:sp macro="" textlink="">
      <xdr:nvSpPr>
        <xdr:cNvPr id="17485" name="Line 324">
          <a:extLst>
            <a:ext uri="{FF2B5EF4-FFF2-40B4-BE49-F238E27FC236}">
              <a16:creationId xmlns:a16="http://schemas.microsoft.com/office/drawing/2014/main" id="{00000000-0008-0000-0100-00004D440000}"/>
            </a:ext>
          </a:extLst>
        </xdr:cNvPr>
        <xdr:cNvSpPr>
          <a:spLocks noChangeShapeType="1"/>
        </xdr:cNvSpPr>
      </xdr:nvSpPr>
      <xdr:spPr bwMode="auto">
        <a:xfrm>
          <a:off x="3105150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1428750</xdr:colOff>
      <xdr:row>106</xdr:row>
      <xdr:rowOff>0</xdr:rowOff>
    </xdr:from>
    <xdr:to>
      <xdr:col>2</xdr:col>
      <xdr:colOff>1428750</xdr:colOff>
      <xdr:row>106</xdr:row>
      <xdr:rowOff>0</xdr:rowOff>
    </xdr:to>
    <xdr:sp macro="" textlink="">
      <xdr:nvSpPr>
        <xdr:cNvPr id="17486" name="Line 325">
          <a:extLst>
            <a:ext uri="{FF2B5EF4-FFF2-40B4-BE49-F238E27FC236}">
              <a16:creationId xmlns:a16="http://schemas.microsoft.com/office/drawing/2014/main" id="{00000000-0008-0000-0100-00004E440000}"/>
            </a:ext>
          </a:extLst>
        </xdr:cNvPr>
        <xdr:cNvSpPr>
          <a:spLocks noChangeShapeType="1"/>
        </xdr:cNvSpPr>
      </xdr:nvSpPr>
      <xdr:spPr bwMode="auto">
        <a:xfrm>
          <a:off x="3105150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419100</xdr:colOff>
      <xdr:row>106</xdr:row>
      <xdr:rowOff>0</xdr:rowOff>
    </xdr:from>
    <xdr:to>
      <xdr:col>8</xdr:col>
      <xdr:colOff>419100</xdr:colOff>
      <xdr:row>106</xdr:row>
      <xdr:rowOff>0</xdr:rowOff>
    </xdr:to>
    <xdr:sp macro="" textlink="">
      <xdr:nvSpPr>
        <xdr:cNvPr id="17487" name="Line 327">
          <a:extLst>
            <a:ext uri="{FF2B5EF4-FFF2-40B4-BE49-F238E27FC236}">
              <a16:creationId xmlns:a16="http://schemas.microsoft.com/office/drawing/2014/main" id="{00000000-0008-0000-0100-00004F440000}"/>
            </a:ext>
          </a:extLst>
        </xdr:cNvPr>
        <xdr:cNvSpPr>
          <a:spLocks noChangeShapeType="1"/>
        </xdr:cNvSpPr>
      </xdr:nvSpPr>
      <xdr:spPr bwMode="auto">
        <a:xfrm>
          <a:off x="7667625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438150</xdr:colOff>
      <xdr:row>106</xdr:row>
      <xdr:rowOff>0</xdr:rowOff>
    </xdr:from>
    <xdr:to>
      <xdr:col>2</xdr:col>
      <xdr:colOff>438150</xdr:colOff>
      <xdr:row>106</xdr:row>
      <xdr:rowOff>0</xdr:rowOff>
    </xdr:to>
    <xdr:sp macro="" textlink="">
      <xdr:nvSpPr>
        <xdr:cNvPr id="17488" name="Line 332">
          <a:extLst>
            <a:ext uri="{FF2B5EF4-FFF2-40B4-BE49-F238E27FC236}">
              <a16:creationId xmlns:a16="http://schemas.microsoft.com/office/drawing/2014/main" id="{00000000-0008-0000-0100-000050440000}"/>
            </a:ext>
          </a:extLst>
        </xdr:cNvPr>
        <xdr:cNvSpPr>
          <a:spLocks noChangeShapeType="1"/>
        </xdr:cNvSpPr>
      </xdr:nvSpPr>
      <xdr:spPr bwMode="auto">
        <a:xfrm flipV="1">
          <a:off x="2247900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352425</xdr:colOff>
      <xdr:row>106</xdr:row>
      <xdr:rowOff>0</xdr:rowOff>
    </xdr:from>
    <xdr:to>
      <xdr:col>2</xdr:col>
      <xdr:colOff>542925</xdr:colOff>
      <xdr:row>106</xdr:row>
      <xdr:rowOff>0</xdr:rowOff>
    </xdr:to>
    <xdr:sp macro="" textlink="">
      <xdr:nvSpPr>
        <xdr:cNvPr id="17489" name="Line 350">
          <a:extLst>
            <a:ext uri="{FF2B5EF4-FFF2-40B4-BE49-F238E27FC236}">
              <a16:creationId xmlns:a16="http://schemas.microsoft.com/office/drawing/2014/main" id="{00000000-0008-0000-0100-000051440000}"/>
            </a:ext>
          </a:extLst>
        </xdr:cNvPr>
        <xdr:cNvSpPr>
          <a:spLocks noChangeShapeType="1"/>
        </xdr:cNvSpPr>
      </xdr:nvSpPr>
      <xdr:spPr bwMode="auto">
        <a:xfrm>
          <a:off x="2162175" y="1420177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352425</xdr:colOff>
      <xdr:row>106</xdr:row>
      <xdr:rowOff>0</xdr:rowOff>
    </xdr:from>
    <xdr:to>
      <xdr:col>2</xdr:col>
      <xdr:colOff>542925</xdr:colOff>
      <xdr:row>106</xdr:row>
      <xdr:rowOff>0</xdr:rowOff>
    </xdr:to>
    <xdr:sp macro="" textlink="">
      <xdr:nvSpPr>
        <xdr:cNvPr id="17490" name="Line 351">
          <a:extLst>
            <a:ext uri="{FF2B5EF4-FFF2-40B4-BE49-F238E27FC236}">
              <a16:creationId xmlns:a16="http://schemas.microsoft.com/office/drawing/2014/main" id="{00000000-0008-0000-0100-000052440000}"/>
            </a:ext>
          </a:extLst>
        </xdr:cNvPr>
        <xdr:cNvSpPr>
          <a:spLocks noChangeShapeType="1"/>
        </xdr:cNvSpPr>
      </xdr:nvSpPr>
      <xdr:spPr bwMode="auto">
        <a:xfrm>
          <a:off x="2162175" y="1420177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428625</xdr:colOff>
      <xdr:row>106</xdr:row>
      <xdr:rowOff>0</xdr:rowOff>
    </xdr:from>
    <xdr:to>
      <xdr:col>5</xdr:col>
      <xdr:colOff>428625</xdr:colOff>
      <xdr:row>106</xdr:row>
      <xdr:rowOff>0</xdr:rowOff>
    </xdr:to>
    <xdr:sp macro="" textlink="">
      <xdr:nvSpPr>
        <xdr:cNvPr id="17491" name="Line 372">
          <a:extLst>
            <a:ext uri="{FF2B5EF4-FFF2-40B4-BE49-F238E27FC236}">
              <a16:creationId xmlns:a16="http://schemas.microsoft.com/office/drawing/2014/main" id="{00000000-0008-0000-0100-000053440000}"/>
            </a:ext>
          </a:extLst>
        </xdr:cNvPr>
        <xdr:cNvSpPr>
          <a:spLocks noChangeShapeType="1"/>
        </xdr:cNvSpPr>
      </xdr:nvSpPr>
      <xdr:spPr bwMode="auto">
        <a:xfrm>
          <a:off x="5429250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209550</xdr:colOff>
      <xdr:row>106</xdr:row>
      <xdr:rowOff>0</xdr:rowOff>
    </xdr:from>
    <xdr:to>
      <xdr:col>5</xdr:col>
      <xdr:colOff>400050</xdr:colOff>
      <xdr:row>106</xdr:row>
      <xdr:rowOff>0</xdr:rowOff>
    </xdr:to>
    <xdr:sp macro="" textlink="">
      <xdr:nvSpPr>
        <xdr:cNvPr id="17492" name="Line 373">
          <a:extLst>
            <a:ext uri="{FF2B5EF4-FFF2-40B4-BE49-F238E27FC236}">
              <a16:creationId xmlns:a16="http://schemas.microsoft.com/office/drawing/2014/main" id="{00000000-0008-0000-0100-000054440000}"/>
            </a:ext>
          </a:extLst>
        </xdr:cNvPr>
        <xdr:cNvSpPr>
          <a:spLocks noChangeShapeType="1"/>
        </xdr:cNvSpPr>
      </xdr:nvSpPr>
      <xdr:spPr bwMode="auto">
        <a:xfrm>
          <a:off x="5210175" y="1420177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1400175</xdr:colOff>
      <xdr:row>106</xdr:row>
      <xdr:rowOff>0</xdr:rowOff>
    </xdr:from>
    <xdr:to>
      <xdr:col>2</xdr:col>
      <xdr:colOff>1400175</xdr:colOff>
      <xdr:row>106</xdr:row>
      <xdr:rowOff>0</xdr:rowOff>
    </xdr:to>
    <xdr:sp macro="" textlink="">
      <xdr:nvSpPr>
        <xdr:cNvPr id="17493" name="Line 374">
          <a:extLst>
            <a:ext uri="{FF2B5EF4-FFF2-40B4-BE49-F238E27FC236}">
              <a16:creationId xmlns:a16="http://schemas.microsoft.com/office/drawing/2014/main" id="{00000000-0008-0000-0100-000055440000}"/>
            </a:ext>
          </a:extLst>
        </xdr:cNvPr>
        <xdr:cNvSpPr>
          <a:spLocks noChangeShapeType="1"/>
        </xdr:cNvSpPr>
      </xdr:nvSpPr>
      <xdr:spPr bwMode="auto">
        <a:xfrm>
          <a:off x="3105150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1428750</xdr:colOff>
      <xdr:row>106</xdr:row>
      <xdr:rowOff>0</xdr:rowOff>
    </xdr:from>
    <xdr:to>
      <xdr:col>2</xdr:col>
      <xdr:colOff>1428750</xdr:colOff>
      <xdr:row>106</xdr:row>
      <xdr:rowOff>0</xdr:rowOff>
    </xdr:to>
    <xdr:sp macro="" textlink="">
      <xdr:nvSpPr>
        <xdr:cNvPr id="17494" name="Line 375">
          <a:extLst>
            <a:ext uri="{FF2B5EF4-FFF2-40B4-BE49-F238E27FC236}">
              <a16:creationId xmlns:a16="http://schemas.microsoft.com/office/drawing/2014/main" id="{00000000-0008-0000-0100-000056440000}"/>
            </a:ext>
          </a:extLst>
        </xdr:cNvPr>
        <xdr:cNvSpPr>
          <a:spLocks noChangeShapeType="1"/>
        </xdr:cNvSpPr>
      </xdr:nvSpPr>
      <xdr:spPr bwMode="auto">
        <a:xfrm>
          <a:off x="3105150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419100</xdr:colOff>
      <xdr:row>106</xdr:row>
      <xdr:rowOff>0</xdr:rowOff>
    </xdr:from>
    <xdr:to>
      <xdr:col>8</xdr:col>
      <xdr:colOff>419100</xdr:colOff>
      <xdr:row>106</xdr:row>
      <xdr:rowOff>0</xdr:rowOff>
    </xdr:to>
    <xdr:sp macro="" textlink="">
      <xdr:nvSpPr>
        <xdr:cNvPr id="17495" name="Line 376">
          <a:extLst>
            <a:ext uri="{FF2B5EF4-FFF2-40B4-BE49-F238E27FC236}">
              <a16:creationId xmlns:a16="http://schemas.microsoft.com/office/drawing/2014/main" id="{00000000-0008-0000-0100-000057440000}"/>
            </a:ext>
          </a:extLst>
        </xdr:cNvPr>
        <xdr:cNvSpPr>
          <a:spLocks noChangeShapeType="1"/>
        </xdr:cNvSpPr>
      </xdr:nvSpPr>
      <xdr:spPr bwMode="auto">
        <a:xfrm>
          <a:off x="7667625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485775</xdr:colOff>
      <xdr:row>106</xdr:row>
      <xdr:rowOff>0</xdr:rowOff>
    </xdr:from>
    <xdr:to>
      <xdr:col>2</xdr:col>
      <xdr:colOff>485775</xdr:colOff>
      <xdr:row>106</xdr:row>
      <xdr:rowOff>0</xdr:rowOff>
    </xdr:to>
    <xdr:sp macro="" textlink="">
      <xdr:nvSpPr>
        <xdr:cNvPr id="17496" name="Line 379">
          <a:extLst>
            <a:ext uri="{FF2B5EF4-FFF2-40B4-BE49-F238E27FC236}">
              <a16:creationId xmlns:a16="http://schemas.microsoft.com/office/drawing/2014/main" id="{00000000-0008-0000-0100-000058440000}"/>
            </a:ext>
          </a:extLst>
        </xdr:cNvPr>
        <xdr:cNvSpPr>
          <a:spLocks noChangeShapeType="1"/>
        </xdr:cNvSpPr>
      </xdr:nvSpPr>
      <xdr:spPr bwMode="auto">
        <a:xfrm flipV="1">
          <a:off x="2295525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485775</xdr:colOff>
      <xdr:row>106</xdr:row>
      <xdr:rowOff>0</xdr:rowOff>
    </xdr:from>
    <xdr:to>
      <xdr:col>2</xdr:col>
      <xdr:colOff>485775</xdr:colOff>
      <xdr:row>106</xdr:row>
      <xdr:rowOff>0</xdr:rowOff>
    </xdr:to>
    <xdr:sp macro="" textlink="">
      <xdr:nvSpPr>
        <xdr:cNvPr id="17497" name="Line 380">
          <a:extLst>
            <a:ext uri="{FF2B5EF4-FFF2-40B4-BE49-F238E27FC236}">
              <a16:creationId xmlns:a16="http://schemas.microsoft.com/office/drawing/2014/main" id="{00000000-0008-0000-0100-000059440000}"/>
            </a:ext>
          </a:extLst>
        </xdr:cNvPr>
        <xdr:cNvSpPr>
          <a:spLocks noChangeShapeType="1"/>
        </xdr:cNvSpPr>
      </xdr:nvSpPr>
      <xdr:spPr bwMode="auto">
        <a:xfrm>
          <a:off x="2295525" y="142017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352425</xdr:colOff>
      <xdr:row>106</xdr:row>
      <xdr:rowOff>0</xdr:rowOff>
    </xdr:from>
    <xdr:to>
      <xdr:col>2</xdr:col>
      <xdr:colOff>542925</xdr:colOff>
      <xdr:row>106</xdr:row>
      <xdr:rowOff>0</xdr:rowOff>
    </xdr:to>
    <xdr:sp macro="" textlink="">
      <xdr:nvSpPr>
        <xdr:cNvPr id="17498" name="Line 381">
          <a:extLst>
            <a:ext uri="{FF2B5EF4-FFF2-40B4-BE49-F238E27FC236}">
              <a16:creationId xmlns:a16="http://schemas.microsoft.com/office/drawing/2014/main" id="{00000000-0008-0000-0100-00005A440000}"/>
            </a:ext>
          </a:extLst>
        </xdr:cNvPr>
        <xdr:cNvSpPr>
          <a:spLocks noChangeShapeType="1"/>
        </xdr:cNvSpPr>
      </xdr:nvSpPr>
      <xdr:spPr bwMode="auto">
        <a:xfrm>
          <a:off x="2162175" y="1420177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352425</xdr:colOff>
      <xdr:row>106</xdr:row>
      <xdr:rowOff>0</xdr:rowOff>
    </xdr:from>
    <xdr:to>
      <xdr:col>2</xdr:col>
      <xdr:colOff>542925</xdr:colOff>
      <xdr:row>106</xdr:row>
      <xdr:rowOff>0</xdr:rowOff>
    </xdr:to>
    <xdr:sp macro="" textlink="">
      <xdr:nvSpPr>
        <xdr:cNvPr id="17499" name="Line 382">
          <a:extLst>
            <a:ext uri="{FF2B5EF4-FFF2-40B4-BE49-F238E27FC236}">
              <a16:creationId xmlns:a16="http://schemas.microsoft.com/office/drawing/2014/main" id="{00000000-0008-0000-0100-00005B440000}"/>
            </a:ext>
          </a:extLst>
        </xdr:cNvPr>
        <xdr:cNvSpPr>
          <a:spLocks noChangeShapeType="1"/>
        </xdr:cNvSpPr>
      </xdr:nvSpPr>
      <xdr:spPr bwMode="auto">
        <a:xfrm>
          <a:off x="2162175" y="1420177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514350</xdr:colOff>
      <xdr:row>71</xdr:row>
      <xdr:rowOff>0</xdr:rowOff>
    </xdr:from>
    <xdr:to>
      <xdr:col>3</xdr:col>
      <xdr:colOff>647700</xdr:colOff>
      <xdr:row>71</xdr:row>
      <xdr:rowOff>0</xdr:rowOff>
    </xdr:to>
    <xdr:grpSp>
      <xdr:nvGrpSpPr>
        <xdr:cNvPr id="17500" name="Group 390">
          <a:extLst>
            <a:ext uri="{FF2B5EF4-FFF2-40B4-BE49-F238E27FC236}">
              <a16:creationId xmlns:a16="http://schemas.microsoft.com/office/drawing/2014/main" id="{00000000-0008-0000-0100-00005C440000}"/>
            </a:ext>
          </a:extLst>
        </xdr:cNvPr>
        <xdr:cNvGrpSpPr>
          <a:grpSpLocks/>
        </xdr:cNvGrpSpPr>
      </xdr:nvGrpSpPr>
      <xdr:grpSpPr bwMode="auto">
        <a:xfrm>
          <a:off x="3619500" y="14201775"/>
          <a:ext cx="133350" cy="0"/>
          <a:chOff x="2592" y="2112"/>
          <a:chExt cx="96" cy="96"/>
        </a:xfrm>
      </xdr:grpSpPr>
      <xdr:sp macro="" textlink="">
        <xdr:nvSpPr>
          <xdr:cNvPr id="17549" name="Oval 391">
            <a:extLst>
              <a:ext uri="{FF2B5EF4-FFF2-40B4-BE49-F238E27FC236}">
                <a16:creationId xmlns:a16="http://schemas.microsoft.com/office/drawing/2014/main" id="{00000000-0008-0000-0100-00008D440000}"/>
              </a:ext>
            </a:extLst>
          </xdr:cNvPr>
          <xdr:cNvSpPr>
            <a:spLocks noChangeArrowheads="1"/>
          </xdr:cNvSpPr>
        </xdr:nvSpPr>
        <xdr:spPr bwMode="auto">
          <a:xfrm>
            <a:off x="2592" y="2112"/>
            <a:ext cx="96" cy="96"/>
          </a:xfrm>
          <a:prstGeom prst="ellipse">
            <a:avLst/>
          </a:prstGeom>
          <a:noFill/>
          <a:ln w="15875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7550" name="Line 392">
            <a:extLst>
              <a:ext uri="{FF2B5EF4-FFF2-40B4-BE49-F238E27FC236}">
                <a16:creationId xmlns:a16="http://schemas.microsoft.com/office/drawing/2014/main" id="{00000000-0008-0000-0100-00008E44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592" y="2112"/>
            <a:ext cx="96" cy="96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absolute">
    <xdr:from>
      <xdr:col>7</xdr:col>
      <xdr:colOff>133350</xdr:colOff>
      <xdr:row>49</xdr:row>
      <xdr:rowOff>67135</xdr:rowOff>
    </xdr:from>
    <xdr:to>
      <xdr:col>8</xdr:col>
      <xdr:colOff>688756</xdr:colOff>
      <xdr:row>54</xdr:row>
      <xdr:rowOff>276224</xdr:rowOff>
    </xdr:to>
    <xdr:grpSp>
      <xdr:nvGrpSpPr>
        <xdr:cNvPr id="17501" name="Group 586">
          <a:extLst>
            <a:ext uri="{FF2B5EF4-FFF2-40B4-BE49-F238E27FC236}">
              <a16:creationId xmlns:a16="http://schemas.microsoft.com/office/drawing/2014/main" id="{00000000-0008-0000-0100-00005D440000}"/>
            </a:ext>
          </a:extLst>
        </xdr:cNvPr>
        <xdr:cNvGrpSpPr>
          <a:grpSpLocks/>
        </xdr:cNvGrpSpPr>
      </xdr:nvGrpSpPr>
      <xdr:grpSpPr bwMode="auto">
        <a:xfrm>
          <a:off x="6953250" y="9877885"/>
          <a:ext cx="984031" cy="1133014"/>
          <a:chOff x="502" y="1093"/>
          <a:chExt cx="107" cy="125"/>
        </a:xfrm>
      </xdr:grpSpPr>
      <xdr:pic>
        <xdr:nvPicPr>
          <xdr:cNvPr id="17547" name="Picture 538" descr="chave_fusivel_modelo_dhc_base_c">
            <a:extLst>
              <a:ext uri="{FF2B5EF4-FFF2-40B4-BE49-F238E27FC236}">
                <a16:creationId xmlns:a16="http://schemas.microsoft.com/office/drawing/2014/main" id="{00000000-0008-0000-0100-00008B440000}"/>
              </a:ext>
            </a:extLst>
          </xdr:cNvPr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/>
              </a:ext>
            </a:extLst>
          </a:blip>
          <a:srcRect r="7370"/>
          <a:stretch/>
        </xdr:blipFill>
        <xdr:spPr bwMode="auto">
          <a:xfrm rot="890755">
            <a:off x="502" y="1093"/>
            <a:ext cx="107" cy="1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7548" name="Oval 580">
            <a:extLst>
              <a:ext uri="{FF2B5EF4-FFF2-40B4-BE49-F238E27FC236}">
                <a16:creationId xmlns:a16="http://schemas.microsoft.com/office/drawing/2014/main" id="{00000000-0008-0000-0100-00008C440000}"/>
              </a:ext>
            </a:extLst>
          </xdr:cNvPr>
          <xdr:cNvSpPr>
            <a:spLocks noChangeArrowheads="1"/>
          </xdr:cNvSpPr>
        </xdr:nvSpPr>
        <xdr:spPr bwMode="auto">
          <a:xfrm rot="-303267">
            <a:off x="509" y="1111"/>
            <a:ext cx="55" cy="107"/>
          </a:xfrm>
          <a:prstGeom prst="ellipse">
            <a:avLst/>
          </a:prstGeom>
          <a:noFill/>
          <a:ln w="25400">
            <a:solidFill>
              <a:srgbClr val="FF0000"/>
            </a:solidFill>
            <a:rou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</xdr:grpSp>
    <xdr:clientData/>
  </xdr:twoCellAnchor>
  <xdr:twoCellAnchor editAs="absolute">
    <xdr:from>
      <xdr:col>1</xdr:col>
      <xdr:colOff>1552575</xdr:colOff>
      <xdr:row>34</xdr:row>
      <xdr:rowOff>161925</xdr:rowOff>
    </xdr:from>
    <xdr:to>
      <xdr:col>4</xdr:col>
      <xdr:colOff>47625</xdr:colOff>
      <xdr:row>37</xdr:row>
      <xdr:rowOff>28575</xdr:rowOff>
    </xdr:to>
    <xdr:sp macro="" textlink="">
      <xdr:nvSpPr>
        <xdr:cNvPr id="17502" name="Rectangle 3284">
          <a:extLst>
            <a:ext uri="{FF2B5EF4-FFF2-40B4-BE49-F238E27FC236}">
              <a16:creationId xmlns:a16="http://schemas.microsoft.com/office/drawing/2014/main" id="{00000000-0008-0000-0100-00005E440000}"/>
            </a:ext>
          </a:extLst>
        </xdr:cNvPr>
        <xdr:cNvSpPr>
          <a:spLocks noChangeArrowheads="1"/>
        </xdr:cNvSpPr>
      </xdr:nvSpPr>
      <xdr:spPr bwMode="auto">
        <a:xfrm>
          <a:off x="1771650" y="7172325"/>
          <a:ext cx="2247900" cy="45720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3</xdr:col>
      <xdr:colOff>0</xdr:colOff>
      <xdr:row>50</xdr:row>
      <xdr:rowOff>0</xdr:rowOff>
    </xdr:from>
    <xdr:to>
      <xdr:col>4</xdr:col>
      <xdr:colOff>28575</xdr:colOff>
      <xdr:row>51</xdr:row>
      <xdr:rowOff>0</xdr:rowOff>
    </xdr:to>
    <xdr:sp macro="" textlink="">
      <xdr:nvSpPr>
        <xdr:cNvPr id="17503" name="Rectangle 3288">
          <a:extLst>
            <a:ext uri="{FF2B5EF4-FFF2-40B4-BE49-F238E27FC236}">
              <a16:creationId xmlns:a16="http://schemas.microsoft.com/office/drawing/2014/main" id="{00000000-0008-0000-0100-00005F440000}"/>
            </a:ext>
          </a:extLst>
        </xdr:cNvPr>
        <xdr:cNvSpPr>
          <a:spLocks noChangeArrowheads="1"/>
        </xdr:cNvSpPr>
      </xdr:nvSpPr>
      <xdr:spPr bwMode="auto">
        <a:xfrm>
          <a:off x="3105150" y="9972675"/>
          <a:ext cx="895350" cy="2000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</xdr:col>
      <xdr:colOff>0</xdr:colOff>
      <xdr:row>74</xdr:row>
      <xdr:rowOff>0</xdr:rowOff>
    </xdr:from>
    <xdr:to>
      <xdr:col>4</xdr:col>
      <xdr:colOff>0</xdr:colOff>
      <xdr:row>77</xdr:row>
      <xdr:rowOff>0</xdr:rowOff>
    </xdr:to>
    <xdr:sp macro="" textlink="">
      <xdr:nvSpPr>
        <xdr:cNvPr id="17504" name="Rectangle 3295">
          <a:extLst>
            <a:ext uri="{FF2B5EF4-FFF2-40B4-BE49-F238E27FC236}">
              <a16:creationId xmlns:a16="http://schemas.microsoft.com/office/drawing/2014/main" id="{00000000-0008-0000-0100-000060440000}"/>
            </a:ext>
          </a:extLst>
        </xdr:cNvPr>
        <xdr:cNvSpPr>
          <a:spLocks noChangeArrowheads="1"/>
        </xdr:cNvSpPr>
      </xdr:nvSpPr>
      <xdr:spPr bwMode="auto">
        <a:xfrm>
          <a:off x="219075" y="14201775"/>
          <a:ext cx="3752850" cy="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1</xdr:col>
      <xdr:colOff>57150</xdr:colOff>
      <xdr:row>136</xdr:row>
      <xdr:rowOff>0</xdr:rowOff>
    </xdr:from>
    <xdr:to>
      <xdr:col>3</xdr:col>
      <xdr:colOff>591075</xdr:colOff>
      <xdr:row>137</xdr:row>
      <xdr:rowOff>2442</xdr:rowOff>
    </xdr:to>
    <xdr:sp macro="" textlink="">
      <xdr:nvSpPr>
        <xdr:cNvPr id="17505" name="Rectangle 3304">
          <a:extLst>
            <a:ext uri="{FF2B5EF4-FFF2-40B4-BE49-F238E27FC236}">
              <a16:creationId xmlns:a16="http://schemas.microsoft.com/office/drawing/2014/main" id="{00000000-0008-0000-0100-000061440000}"/>
            </a:ext>
          </a:extLst>
        </xdr:cNvPr>
        <xdr:cNvSpPr>
          <a:spLocks noChangeArrowheads="1"/>
        </xdr:cNvSpPr>
      </xdr:nvSpPr>
      <xdr:spPr bwMode="auto">
        <a:xfrm>
          <a:off x="276225" y="18449925"/>
          <a:ext cx="3419475" cy="2000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5</xdr:col>
      <xdr:colOff>28575</xdr:colOff>
      <xdr:row>135</xdr:row>
      <xdr:rowOff>142875</xdr:rowOff>
    </xdr:from>
    <xdr:to>
      <xdr:col>8</xdr:col>
      <xdr:colOff>66675</xdr:colOff>
      <xdr:row>140</xdr:row>
      <xdr:rowOff>28575</xdr:rowOff>
    </xdr:to>
    <xdr:sp macro="" textlink="">
      <xdr:nvSpPr>
        <xdr:cNvPr id="17506" name="Rectangle 3305">
          <a:extLst>
            <a:ext uri="{FF2B5EF4-FFF2-40B4-BE49-F238E27FC236}">
              <a16:creationId xmlns:a16="http://schemas.microsoft.com/office/drawing/2014/main" id="{00000000-0008-0000-0100-000062440000}"/>
            </a:ext>
          </a:extLst>
        </xdr:cNvPr>
        <xdr:cNvSpPr>
          <a:spLocks noChangeArrowheads="1"/>
        </xdr:cNvSpPr>
      </xdr:nvSpPr>
      <xdr:spPr bwMode="auto">
        <a:xfrm>
          <a:off x="5029200" y="18430875"/>
          <a:ext cx="2286000" cy="4095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8</xdr:col>
      <xdr:colOff>104775</xdr:colOff>
      <xdr:row>65</xdr:row>
      <xdr:rowOff>76200</xdr:rowOff>
    </xdr:from>
    <xdr:to>
      <xdr:col>8</xdr:col>
      <xdr:colOff>542925</xdr:colOff>
      <xdr:row>69</xdr:row>
      <xdr:rowOff>180975</xdr:rowOff>
    </xdr:to>
    <xdr:pic>
      <xdr:nvPicPr>
        <xdr:cNvPr id="17507" name="Picture 3463" descr="pirelli_cabo_aereo_1">
          <a:extLst>
            <a:ext uri="{FF2B5EF4-FFF2-40B4-BE49-F238E27FC236}">
              <a16:creationId xmlns:a16="http://schemas.microsoft.com/office/drawing/2014/main" id="{00000000-0008-0000-0100-000063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7353300" y="13049250"/>
          <a:ext cx="4381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190500</xdr:colOff>
      <xdr:row>133</xdr:row>
      <xdr:rowOff>180975</xdr:rowOff>
    </xdr:from>
    <xdr:to>
      <xdr:col>5</xdr:col>
      <xdr:colOff>19050</xdr:colOff>
      <xdr:row>135</xdr:row>
      <xdr:rowOff>38100</xdr:rowOff>
    </xdr:to>
    <xdr:sp macro="" textlink="">
      <xdr:nvSpPr>
        <xdr:cNvPr id="17508" name="Rectangle 3484">
          <a:extLst>
            <a:ext uri="{FF2B5EF4-FFF2-40B4-BE49-F238E27FC236}">
              <a16:creationId xmlns:a16="http://schemas.microsoft.com/office/drawing/2014/main" id="{00000000-0008-0000-0100-000064440000}"/>
            </a:ext>
          </a:extLst>
        </xdr:cNvPr>
        <xdr:cNvSpPr>
          <a:spLocks noChangeArrowheads="1"/>
        </xdr:cNvSpPr>
      </xdr:nvSpPr>
      <xdr:spPr bwMode="auto">
        <a:xfrm>
          <a:off x="2000250" y="18068925"/>
          <a:ext cx="3019425" cy="2571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</xdr:col>
      <xdr:colOff>1400175</xdr:colOff>
      <xdr:row>103</xdr:row>
      <xdr:rowOff>152400</xdr:rowOff>
    </xdr:from>
    <xdr:to>
      <xdr:col>2</xdr:col>
      <xdr:colOff>552450</xdr:colOff>
      <xdr:row>103</xdr:row>
      <xdr:rowOff>152400</xdr:rowOff>
    </xdr:to>
    <xdr:sp macro="" textlink="">
      <xdr:nvSpPr>
        <xdr:cNvPr id="17509" name="Line 3487">
          <a:extLst>
            <a:ext uri="{FF2B5EF4-FFF2-40B4-BE49-F238E27FC236}">
              <a16:creationId xmlns:a16="http://schemas.microsoft.com/office/drawing/2014/main" id="{00000000-0008-0000-0100-000065440000}"/>
            </a:ext>
          </a:extLst>
        </xdr:cNvPr>
        <xdr:cNvSpPr>
          <a:spLocks noChangeShapeType="1"/>
        </xdr:cNvSpPr>
      </xdr:nvSpPr>
      <xdr:spPr bwMode="auto">
        <a:xfrm>
          <a:off x="1619250" y="14201775"/>
          <a:ext cx="742950" cy="0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absolute">
    <xdr:from>
      <xdr:col>5</xdr:col>
      <xdr:colOff>962025</xdr:colOff>
      <xdr:row>25</xdr:row>
      <xdr:rowOff>95250</xdr:rowOff>
    </xdr:from>
    <xdr:to>
      <xdr:col>16383</xdr:col>
      <xdr:colOff>84992</xdr:colOff>
      <xdr:row>32</xdr:row>
      <xdr:rowOff>47625</xdr:rowOff>
    </xdr:to>
    <xdr:grpSp>
      <xdr:nvGrpSpPr>
        <xdr:cNvPr id="17510" name="Grupo 49">
          <a:extLst>
            <a:ext uri="{FF2B5EF4-FFF2-40B4-BE49-F238E27FC236}">
              <a16:creationId xmlns:a16="http://schemas.microsoft.com/office/drawing/2014/main" id="{00000000-0008-0000-0100-000066440000}"/>
            </a:ext>
          </a:extLst>
        </xdr:cNvPr>
        <xdr:cNvGrpSpPr>
          <a:grpSpLocks/>
        </xdr:cNvGrpSpPr>
      </xdr:nvGrpSpPr>
      <xdr:grpSpPr bwMode="auto">
        <a:xfrm flipH="1">
          <a:off x="5962650" y="4781550"/>
          <a:ext cx="2237642" cy="1857375"/>
          <a:chOff x="-130597" y="0"/>
          <a:chExt cx="2845223" cy="2029702"/>
        </a:xfrm>
      </xdr:grpSpPr>
      <xdr:grpSp>
        <xdr:nvGrpSpPr>
          <xdr:cNvPr id="17534" name="Grupo 50">
            <a:extLst>
              <a:ext uri="{FF2B5EF4-FFF2-40B4-BE49-F238E27FC236}">
                <a16:creationId xmlns:a16="http://schemas.microsoft.com/office/drawing/2014/main" id="{00000000-0008-0000-0100-00007E440000}"/>
              </a:ext>
            </a:extLst>
          </xdr:cNvPr>
          <xdr:cNvGrpSpPr>
            <a:grpSpLocks/>
          </xdr:cNvGrpSpPr>
        </xdr:nvGrpSpPr>
        <xdr:grpSpPr bwMode="auto">
          <a:xfrm>
            <a:off x="361950" y="114300"/>
            <a:ext cx="2352676" cy="1915402"/>
            <a:chOff x="0" y="0"/>
            <a:chExt cx="2352676" cy="1915402"/>
          </a:xfrm>
        </xdr:grpSpPr>
        <xdr:grpSp>
          <xdr:nvGrpSpPr>
            <xdr:cNvPr id="17542" name="Grupo 58">
              <a:extLst>
                <a:ext uri="{FF2B5EF4-FFF2-40B4-BE49-F238E27FC236}">
                  <a16:creationId xmlns:a16="http://schemas.microsoft.com/office/drawing/2014/main" id="{00000000-0008-0000-0100-00008644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0" y="0"/>
              <a:ext cx="2352676" cy="1524001"/>
              <a:chOff x="0" y="0"/>
              <a:chExt cx="2352676" cy="1524001"/>
            </a:xfrm>
          </xdr:grpSpPr>
          <xdr:sp macro="" textlink="">
            <xdr:nvSpPr>
              <xdr:cNvPr id="62" name="Triângulo retângulo 61">
                <a:extLst>
                  <a:ext uri="{FF2B5EF4-FFF2-40B4-BE49-F238E27FC236}">
                    <a16:creationId xmlns:a16="http://schemas.microsoft.com/office/drawing/2014/main" id="{00000000-0008-0000-0100-00003E000000}"/>
                  </a:ext>
                </a:extLst>
              </xdr:cNvPr>
              <xdr:cNvSpPr/>
            </xdr:nvSpPr>
            <xdr:spPr>
              <a:xfrm>
                <a:off x="3854" y="196"/>
                <a:ext cx="2348822" cy="1519675"/>
              </a:xfrm>
              <a:prstGeom prst="rtTriangle">
                <a:avLst/>
              </a:prstGeom>
              <a:noFill/>
              <a:ln w="19050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bg1"/>
              </a:fontRef>
            </xdr:style>
            <xdr:txBody>
              <a:bodyPr vert="horz" wrap="square" lIns="91440" tIns="45720" rIns="91440" bIns="45720" numCol="1" rtlCol="0" fromWordArt="0" anchor="ctr" anchorCtr="0">
                <a:prstTxWarp prst="textNoShape">
                  <a:avLst/>
                </a:prstTxWarp>
                <a:noAutofit/>
              </a:bodyPr>
              <a:lstStyle/>
              <a:p>
                <a:endParaRPr lang="pt-BR"/>
              </a:p>
            </xdr:txBody>
          </xdr:sp>
          <xdr:cxnSp macro="">
            <xdr:nvCxnSpPr>
              <xdr:cNvPr id="63" name="Conector reto 62">
                <a:extLst>
                  <a:ext uri="{FF2B5EF4-FFF2-40B4-BE49-F238E27FC236}">
                    <a16:creationId xmlns:a16="http://schemas.microsoft.com/office/drawing/2014/main" id="{00000000-0008-0000-0100-00003F000000}"/>
                  </a:ext>
                </a:extLst>
              </xdr:cNvPr>
              <xdr:cNvCxnSpPr/>
            </xdr:nvCxnSpPr>
            <xdr:spPr>
              <a:xfrm flipH="1" flipV="1">
                <a:off x="3854" y="749624"/>
                <a:ext cx="2348822" cy="770246"/>
              </a:xfrm>
              <a:prstGeom prst="line">
                <a:avLst/>
              </a:prstGeom>
              <a:ln w="12700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sp macro="" textlink="">
          <xdr:nvSpPr>
            <xdr:cNvPr id="60" name="Arco 59">
              <a:extLst>
                <a:ext uri="{FF2B5EF4-FFF2-40B4-BE49-F238E27FC236}">
                  <a16:creationId xmlns:a16="http://schemas.microsoft.com/office/drawing/2014/main" id="{00000000-0008-0000-0100-00003C000000}"/>
                </a:ext>
              </a:extLst>
            </xdr:cNvPr>
            <xdr:cNvSpPr/>
          </xdr:nvSpPr>
          <xdr:spPr>
            <a:xfrm rot="14810657">
              <a:off x="1163788" y="1077627"/>
              <a:ext cx="1009647" cy="665903"/>
            </a:xfrm>
            <a:prstGeom prst="arc">
              <a:avLst>
                <a:gd name="adj1" fmla="val 16358979"/>
                <a:gd name="adj2" fmla="val 0"/>
              </a:avLst>
            </a:prstGeom>
            <a:ln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vert="horz" wrap="square" lIns="91440" tIns="45720" rIns="91440" bIns="45720" numCol="1" rtlCol="0" fromWordArt="0" anchor="ctr" anchorCtr="0">
              <a:prstTxWarp prst="textNoShape">
                <a:avLst/>
              </a:prstTxWarp>
              <a:noAutofit/>
            </a:bodyPr>
            <a:lstStyle/>
            <a:p>
              <a:endParaRPr lang="pt-BR"/>
            </a:p>
          </xdr:txBody>
        </xdr:sp>
        <xdr:sp macro="" textlink="">
          <xdr:nvSpPr>
            <xdr:cNvPr id="61" name="Arco 60">
              <a:extLst>
                <a:ext uri="{FF2B5EF4-FFF2-40B4-BE49-F238E27FC236}">
                  <a16:creationId xmlns:a16="http://schemas.microsoft.com/office/drawing/2014/main" id="{00000000-0008-0000-0100-00003D000000}"/>
                </a:ext>
              </a:extLst>
            </xdr:cNvPr>
            <xdr:cNvSpPr/>
          </xdr:nvSpPr>
          <xdr:spPr>
            <a:xfrm rot="14810657">
              <a:off x="1594576" y="1298324"/>
              <a:ext cx="353897" cy="339005"/>
            </a:xfrm>
            <a:prstGeom prst="arc">
              <a:avLst>
                <a:gd name="adj1" fmla="val 16358979"/>
                <a:gd name="adj2" fmla="val 0"/>
              </a:avLst>
            </a:prstGeom>
            <a:ln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  <xdr:txBody>
            <a:bodyPr vert="horz" wrap="square" lIns="91440" tIns="45720" rIns="91440" bIns="45720" numCol="1" rtlCol="0" fromWordArt="0" anchor="ctr" anchorCtr="0">
              <a:prstTxWarp prst="textNoShape">
                <a:avLst/>
              </a:prstTxWarp>
              <a:noAutofit/>
            </a:bodyPr>
            <a:lstStyle/>
            <a:p>
              <a:endParaRPr lang="pt-BR"/>
            </a:p>
          </xdr:txBody>
        </xdr:sp>
      </xdr:grpSp>
      <xdr:sp macro="" textlink="">
        <xdr:nvSpPr>
          <xdr:cNvPr id="52" name="Caixa de texto 1120">
            <a:extLst>
              <a:ext uri="{FF2B5EF4-FFF2-40B4-BE49-F238E27FC236}">
                <a16:creationId xmlns:a16="http://schemas.microsoft.com/office/drawing/2014/main" id="{00000000-0008-0000-0100-000034000000}"/>
              </a:ext>
            </a:extLst>
          </xdr:cNvPr>
          <xdr:cNvSpPr txBox="1"/>
        </xdr:nvSpPr>
        <xdr:spPr>
          <a:xfrm>
            <a:off x="-118490" y="0"/>
            <a:ext cx="556937" cy="364305"/>
          </a:xfrm>
          <a:prstGeom prst="rect">
            <a:avLst/>
          </a:prstGeom>
          <a:noFill/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="horz" wrap="square" lIns="91440" tIns="45720" rIns="91440" bIns="45720" numCol="1" rtlCol="0" fromWordArt="0" anchor="ctr" anchorCtr="0">
            <a:prstTxWarp prst="textNoShape">
              <a:avLst/>
            </a:prstTxWarp>
            <a:noAutofit/>
          </a:bodyPr>
          <a:lstStyle/>
          <a:p>
            <a:pPr algn="ctr">
              <a:spcBef>
                <a:spcPts val="500"/>
              </a:spcBef>
              <a:spcAft>
                <a:spcPts val="500"/>
              </a:spcAft>
            </a:pP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Times New Roman"/>
              </a:rPr>
              <a:t>Q1</a:t>
            </a:r>
          </a:p>
        </xdr:txBody>
      </xdr:sp>
      <xdr:sp macro="" textlink="">
        <xdr:nvSpPr>
          <xdr:cNvPr id="53" name="Caixa de texto 1121">
            <a:extLst>
              <a:ext uri="{FF2B5EF4-FFF2-40B4-BE49-F238E27FC236}">
                <a16:creationId xmlns:a16="http://schemas.microsoft.com/office/drawing/2014/main" id="{00000000-0008-0000-0100-000035000000}"/>
              </a:ext>
            </a:extLst>
          </xdr:cNvPr>
          <xdr:cNvSpPr txBox="1"/>
        </xdr:nvSpPr>
        <xdr:spPr>
          <a:xfrm>
            <a:off x="-130597" y="1061690"/>
            <a:ext cx="569045" cy="364305"/>
          </a:xfrm>
          <a:prstGeom prst="rect">
            <a:avLst/>
          </a:prstGeom>
          <a:noFill/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="horz" wrap="square" lIns="91440" tIns="45720" rIns="91440" bIns="45720" numCol="1" rtlCol="0" fromWordArt="0" anchor="ctr" anchorCtr="0">
            <a:prstTxWarp prst="textNoShape">
              <a:avLst/>
            </a:prstTxWarp>
            <a:noAutofit/>
          </a:bodyPr>
          <a:lstStyle/>
          <a:p>
            <a:pPr algn="ctr">
              <a:spcBef>
                <a:spcPts val="500"/>
              </a:spcBef>
              <a:spcAft>
                <a:spcPts val="500"/>
              </a:spcAft>
            </a:pP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Times New Roman"/>
              </a:rPr>
              <a:t>Q2</a:t>
            </a:r>
          </a:p>
        </xdr:txBody>
      </xdr:sp>
      <xdr:sp macro="" textlink="">
        <xdr:nvSpPr>
          <xdr:cNvPr id="54" name="Caixa de texto 1122">
            <a:extLst>
              <a:ext uri="{FF2B5EF4-FFF2-40B4-BE49-F238E27FC236}">
                <a16:creationId xmlns:a16="http://schemas.microsoft.com/office/drawing/2014/main" id="{00000000-0008-0000-0100-000036000000}"/>
              </a:ext>
            </a:extLst>
          </xdr:cNvPr>
          <xdr:cNvSpPr txBox="1"/>
        </xdr:nvSpPr>
        <xdr:spPr>
          <a:xfrm>
            <a:off x="1140673" y="447575"/>
            <a:ext cx="556937" cy="364305"/>
          </a:xfrm>
          <a:prstGeom prst="rect">
            <a:avLst/>
          </a:prstGeom>
          <a:noFill/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="horz" wrap="square" lIns="91440" tIns="45720" rIns="91440" bIns="45720" numCol="1" rtlCol="0" fromWordArt="0" anchor="ctr" anchorCtr="0">
            <a:prstTxWarp prst="textNoShape">
              <a:avLst/>
            </a:prstTxWarp>
            <a:noAutofit/>
          </a:bodyPr>
          <a:lstStyle/>
          <a:p>
            <a:pPr algn="ctr">
              <a:spcBef>
                <a:spcPts val="500"/>
              </a:spcBef>
              <a:spcAft>
                <a:spcPts val="500"/>
              </a:spcAft>
            </a:pP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Times New Roman"/>
              </a:rPr>
              <a:t>S1</a:t>
            </a:r>
          </a:p>
        </xdr:txBody>
      </xdr:sp>
      <xdr:sp macro="" textlink="">
        <xdr:nvSpPr>
          <xdr:cNvPr id="55" name="Caixa de texto 1123">
            <a:extLst>
              <a:ext uri="{FF2B5EF4-FFF2-40B4-BE49-F238E27FC236}">
                <a16:creationId xmlns:a16="http://schemas.microsoft.com/office/drawing/2014/main" id="{00000000-0008-0000-0100-000037000000}"/>
              </a:ext>
            </a:extLst>
          </xdr:cNvPr>
          <xdr:cNvSpPr txBox="1"/>
        </xdr:nvSpPr>
        <xdr:spPr>
          <a:xfrm>
            <a:off x="607950" y="770246"/>
            <a:ext cx="544830" cy="364305"/>
          </a:xfrm>
          <a:prstGeom prst="rect">
            <a:avLst/>
          </a:prstGeom>
          <a:noFill/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="horz" wrap="square" lIns="91440" tIns="45720" rIns="91440" bIns="45720" numCol="1" rtlCol="0" fromWordArt="0" anchor="ctr" anchorCtr="0">
            <a:prstTxWarp prst="textNoShape">
              <a:avLst/>
            </a:prstTxWarp>
            <a:noAutofit/>
          </a:bodyPr>
          <a:lstStyle/>
          <a:p>
            <a:pPr algn="ctr">
              <a:spcBef>
                <a:spcPts val="500"/>
              </a:spcBef>
              <a:spcAft>
                <a:spcPts val="500"/>
              </a:spcAft>
            </a:pP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Times New Roman"/>
              </a:rPr>
              <a:t>S2</a:t>
            </a:r>
          </a:p>
        </xdr:txBody>
      </xdr:sp>
      <xdr:sp macro="" textlink="">
        <xdr:nvSpPr>
          <xdr:cNvPr id="56" name="Caixa de texto 1124">
            <a:extLst>
              <a:ext uri="{FF2B5EF4-FFF2-40B4-BE49-F238E27FC236}">
                <a16:creationId xmlns:a16="http://schemas.microsoft.com/office/drawing/2014/main" id="{00000000-0008-0000-0100-000038000000}"/>
              </a:ext>
            </a:extLst>
          </xdr:cNvPr>
          <xdr:cNvSpPr txBox="1"/>
        </xdr:nvSpPr>
        <xdr:spPr>
          <a:xfrm>
            <a:off x="1164888" y="1571718"/>
            <a:ext cx="435864" cy="364305"/>
          </a:xfrm>
          <a:prstGeom prst="rect">
            <a:avLst/>
          </a:prstGeom>
          <a:noFill/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="horz" wrap="square" lIns="91440" tIns="45720" rIns="91440" bIns="45720" numCol="1" rtlCol="0" fromWordArt="0" anchor="ctr" anchorCtr="0">
            <a:prstTxWarp prst="textNoShape">
              <a:avLst/>
            </a:prstTxWarp>
            <a:noAutofit/>
          </a:bodyPr>
          <a:lstStyle/>
          <a:p>
            <a:pPr algn="ctr">
              <a:spcBef>
                <a:spcPts val="500"/>
              </a:spcBef>
              <a:spcAft>
                <a:spcPts val="500"/>
              </a:spcAft>
            </a:pP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Times New Roman"/>
              </a:rPr>
              <a:t>P</a:t>
            </a:r>
          </a:p>
        </xdr:txBody>
      </xdr:sp>
      <xdr:sp macro="" textlink="">
        <xdr:nvSpPr>
          <xdr:cNvPr id="57" name="Caixa de texto 1125">
            <a:extLst>
              <a:ext uri="{FF2B5EF4-FFF2-40B4-BE49-F238E27FC236}">
                <a16:creationId xmlns:a16="http://schemas.microsoft.com/office/drawing/2014/main" id="{00000000-0008-0000-0100-000039000000}"/>
              </a:ext>
            </a:extLst>
          </xdr:cNvPr>
          <xdr:cNvSpPr txBox="1"/>
        </xdr:nvSpPr>
        <xdr:spPr>
          <a:xfrm>
            <a:off x="1298068" y="905559"/>
            <a:ext cx="496401" cy="364305"/>
          </a:xfrm>
          <a:prstGeom prst="rect">
            <a:avLst/>
          </a:prstGeom>
          <a:noFill/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="horz" wrap="square" lIns="91440" tIns="45720" rIns="91440" bIns="45720" numCol="1" rtlCol="0" fromWordArt="0" anchor="ctr" anchorCtr="0">
            <a:prstTxWarp prst="textNoShape">
              <a:avLst/>
            </a:prstTxWarp>
            <a:noAutofit/>
          </a:bodyPr>
          <a:lstStyle/>
          <a:p>
            <a:pPr algn="ctr">
              <a:spcBef>
                <a:spcPts val="500"/>
              </a:spcBef>
              <a:spcAft>
                <a:spcPts val="500"/>
              </a:spcAft>
            </a:pP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Arial"/>
              </a:rPr>
              <a:t>φ</a:t>
            </a: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Times New Roman"/>
              </a:rPr>
              <a:t>1</a:t>
            </a:r>
          </a:p>
        </xdr:txBody>
      </xdr:sp>
      <xdr:sp macro="" textlink="">
        <xdr:nvSpPr>
          <xdr:cNvPr id="58" name="Caixa de texto 1126">
            <a:extLst>
              <a:ext uri="{FF2B5EF4-FFF2-40B4-BE49-F238E27FC236}">
                <a16:creationId xmlns:a16="http://schemas.microsoft.com/office/drawing/2014/main" id="{00000000-0008-0000-0100-00003A000000}"/>
              </a:ext>
            </a:extLst>
          </xdr:cNvPr>
          <xdr:cNvSpPr txBox="1"/>
        </xdr:nvSpPr>
        <xdr:spPr>
          <a:xfrm>
            <a:off x="1479678" y="1311500"/>
            <a:ext cx="581152" cy="364305"/>
          </a:xfrm>
          <a:prstGeom prst="rect">
            <a:avLst/>
          </a:prstGeom>
          <a:noFill/>
          <a:ln w="6350">
            <a:noFill/>
          </a:ln>
          <a:effectLst/>
        </xdr:spPr>
        <xdr:style>
          <a:lnRef idx="0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="horz" wrap="square" lIns="91440" tIns="45720" rIns="91440" bIns="45720" numCol="1" rtlCol="0" fromWordArt="0" anchor="ctr" anchorCtr="0">
            <a:prstTxWarp prst="textNoShape">
              <a:avLst/>
            </a:prstTxWarp>
            <a:noAutofit/>
          </a:bodyPr>
          <a:lstStyle/>
          <a:p>
            <a:pPr algn="ctr">
              <a:spcBef>
                <a:spcPts val="500"/>
              </a:spcBef>
              <a:spcAft>
                <a:spcPts val="500"/>
              </a:spcAft>
            </a:pPr>
            <a:r>
              <a:rPr lang="pt-BR" sz="1100">
                <a:solidFill>
                  <a:schemeClr val="tx1"/>
                </a:solidFill>
                <a:effectLst/>
                <a:latin typeface="Arial"/>
                <a:ea typeface="Times New Roman"/>
                <a:cs typeface="Arial"/>
              </a:rPr>
              <a:t>φ2</a:t>
            </a:r>
            <a:endParaRPr lang="pt-BR" sz="1100">
              <a:solidFill>
                <a:srgbClr val="000000"/>
              </a:solidFill>
              <a:effectLst/>
              <a:latin typeface="Arial"/>
              <a:ea typeface="Times New Roman"/>
              <a:cs typeface="Times New Roman"/>
            </a:endParaRPr>
          </a:p>
        </xdr:txBody>
      </xdr:sp>
    </xdr:grpSp>
    <xdr:clientData/>
  </xdr:twoCellAnchor>
  <xdr:twoCellAnchor editAs="absolute">
    <xdr:from>
      <xdr:col>6</xdr:col>
      <xdr:colOff>0</xdr:colOff>
      <xdr:row>57</xdr:row>
      <xdr:rowOff>57150</xdr:rowOff>
    </xdr:from>
    <xdr:to>
      <xdr:col>8</xdr:col>
      <xdr:colOff>829650</xdr:colOff>
      <xdr:row>62</xdr:row>
      <xdr:rowOff>207900</xdr:rowOff>
    </xdr:to>
    <xdr:pic>
      <xdr:nvPicPr>
        <xdr:cNvPr id="17511" name="Picture 3">
          <a:extLst>
            <a:ext uri="{FF2B5EF4-FFF2-40B4-BE49-F238E27FC236}">
              <a16:creationId xmlns:a16="http://schemas.microsoft.com/office/drawing/2014/main" id="{00000000-0008-0000-0100-000067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5972175" y="11525250"/>
          <a:ext cx="21050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</xdr:col>
      <xdr:colOff>457200</xdr:colOff>
      <xdr:row>65</xdr:row>
      <xdr:rowOff>114300</xdr:rowOff>
    </xdr:from>
    <xdr:to>
      <xdr:col>7</xdr:col>
      <xdr:colOff>247650</xdr:colOff>
      <xdr:row>69</xdr:row>
      <xdr:rowOff>238125</xdr:rowOff>
    </xdr:to>
    <xdr:pic>
      <xdr:nvPicPr>
        <xdr:cNvPr id="17512" name="Imagem 64">
          <a:extLst>
            <a:ext uri="{FF2B5EF4-FFF2-40B4-BE49-F238E27FC236}">
              <a16:creationId xmlns:a16="http://schemas.microsoft.com/office/drawing/2014/main" id="{00000000-0008-0000-0100-000068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5457825" y="13087350"/>
          <a:ext cx="160972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</xdr:col>
      <xdr:colOff>914399</xdr:colOff>
      <xdr:row>119</xdr:row>
      <xdr:rowOff>123825</xdr:rowOff>
    </xdr:from>
    <xdr:to>
      <xdr:col>8</xdr:col>
      <xdr:colOff>106499</xdr:colOff>
      <xdr:row>123</xdr:row>
      <xdr:rowOff>19050</xdr:rowOff>
    </xdr:to>
    <xdr:sp macro="" textlink="">
      <xdr:nvSpPr>
        <xdr:cNvPr id="17513" name="Rectangle 3299">
          <a:extLst>
            <a:ext uri="{FF2B5EF4-FFF2-40B4-BE49-F238E27FC236}">
              <a16:creationId xmlns:a16="http://schemas.microsoft.com/office/drawing/2014/main" id="{00000000-0008-0000-0100-000069440000}"/>
            </a:ext>
          </a:extLst>
        </xdr:cNvPr>
        <xdr:cNvSpPr>
          <a:spLocks noChangeArrowheads="1"/>
        </xdr:cNvSpPr>
      </xdr:nvSpPr>
      <xdr:spPr bwMode="auto">
        <a:xfrm>
          <a:off x="5915025" y="15573375"/>
          <a:ext cx="1438275" cy="6191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5</xdr:col>
      <xdr:colOff>952500</xdr:colOff>
      <xdr:row>35</xdr:row>
      <xdr:rowOff>0</xdr:rowOff>
    </xdr:from>
    <xdr:to>
      <xdr:col>6</xdr:col>
      <xdr:colOff>771525</xdr:colOff>
      <xdr:row>37</xdr:row>
      <xdr:rowOff>9525</xdr:rowOff>
    </xdr:to>
    <xdr:sp macro="" textlink="">
      <xdr:nvSpPr>
        <xdr:cNvPr id="17514" name="Rectangle 3286">
          <a:extLst>
            <a:ext uri="{FF2B5EF4-FFF2-40B4-BE49-F238E27FC236}">
              <a16:creationId xmlns:a16="http://schemas.microsoft.com/office/drawing/2014/main" id="{00000000-0008-0000-0100-00006A440000}"/>
            </a:ext>
          </a:extLst>
        </xdr:cNvPr>
        <xdr:cNvSpPr>
          <a:spLocks noChangeArrowheads="1"/>
        </xdr:cNvSpPr>
      </xdr:nvSpPr>
      <xdr:spPr bwMode="auto">
        <a:xfrm>
          <a:off x="5953125" y="7210425"/>
          <a:ext cx="790575" cy="40005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5</xdr:col>
      <xdr:colOff>942975</xdr:colOff>
      <xdr:row>38</xdr:row>
      <xdr:rowOff>9525</xdr:rowOff>
    </xdr:from>
    <xdr:to>
      <xdr:col>6</xdr:col>
      <xdr:colOff>790575</xdr:colOff>
      <xdr:row>41</xdr:row>
      <xdr:rowOff>9525</xdr:rowOff>
    </xdr:to>
    <xdr:sp macro="" textlink="">
      <xdr:nvSpPr>
        <xdr:cNvPr id="17515" name="Rectangle 3286">
          <a:extLst>
            <a:ext uri="{FF2B5EF4-FFF2-40B4-BE49-F238E27FC236}">
              <a16:creationId xmlns:a16="http://schemas.microsoft.com/office/drawing/2014/main" id="{00000000-0008-0000-0100-00006B440000}"/>
            </a:ext>
          </a:extLst>
        </xdr:cNvPr>
        <xdr:cNvSpPr>
          <a:spLocks noChangeArrowheads="1"/>
        </xdr:cNvSpPr>
      </xdr:nvSpPr>
      <xdr:spPr bwMode="auto">
        <a:xfrm>
          <a:off x="5943600" y="7772400"/>
          <a:ext cx="819150" cy="5619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304800</xdr:colOff>
          <xdr:row>71</xdr:row>
          <xdr:rowOff>0</xdr:rowOff>
        </xdr:from>
        <xdr:to>
          <xdr:col>2</xdr:col>
          <xdr:colOff>152400</xdr:colOff>
          <xdr:row>71</xdr:row>
          <xdr:rowOff>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absolute">
    <xdr:from>
      <xdr:col>4</xdr:col>
      <xdr:colOff>171450</xdr:colOff>
      <xdr:row>39</xdr:row>
      <xdr:rowOff>9525</xdr:rowOff>
    </xdr:from>
    <xdr:to>
      <xdr:col>4</xdr:col>
      <xdr:colOff>857250</xdr:colOff>
      <xdr:row>40</xdr:row>
      <xdr:rowOff>142875</xdr:rowOff>
    </xdr:to>
    <xdr:sp macro="" textlink="">
      <xdr:nvSpPr>
        <xdr:cNvPr id="17516" name="Rectangle 3284">
          <a:extLst>
            <a:ext uri="{FF2B5EF4-FFF2-40B4-BE49-F238E27FC236}">
              <a16:creationId xmlns:a16="http://schemas.microsoft.com/office/drawing/2014/main" id="{00000000-0008-0000-0100-00006C440000}"/>
            </a:ext>
          </a:extLst>
        </xdr:cNvPr>
        <xdr:cNvSpPr>
          <a:spLocks noChangeArrowheads="1"/>
        </xdr:cNvSpPr>
      </xdr:nvSpPr>
      <xdr:spPr bwMode="auto">
        <a:xfrm>
          <a:off x="4143375" y="7962900"/>
          <a:ext cx="685800" cy="34290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3</xdr:col>
      <xdr:colOff>0</xdr:colOff>
      <xdr:row>52</xdr:row>
      <xdr:rowOff>0</xdr:rowOff>
    </xdr:from>
    <xdr:to>
      <xdr:col>4</xdr:col>
      <xdr:colOff>28575</xdr:colOff>
      <xdr:row>53</xdr:row>
      <xdr:rowOff>0</xdr:rowOff>
    </xdr:to>
    <xdr:sp macro="" textlink="">
      <xdr:nvSpPr>
        <xdr:cNvPr id="17517" name="Rectangle 3288">
          <a:extLst>
            <a:ext uri="{FF2B5EF4-FFF2-40B4-BE49-F238E27FC236}">
              <a16:creationId xmlns:a16="http://schemas.microsoft.com/office/drawing/2014/main" id="{00000000-0008-0000-0100-00006D440000}"/>
            </a:ext>
          </a:extLst>
        </xdr:cNvPr>
        <xdr:cNvSpPr>
          <a:spLocks noChangeArrowheads="1"/>
        </xdr:cNvSpPr>
      </xdr:nvSpPr>
      <xdr:spPr bwMode="auto">
        <a:xfrm>
          <a:off x="3105150" y="10372725"/>
          <a:ext cx="895350" cy="2000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7</xdr:col>
      <xdr:colOff>123825</xdr:colOff>
      <xdr:row>33</xdr:row>
      <xdr:rowOff>28575</xdr:rowOff>
    </xdr:from>
    <xdr:to>
      <xdr:col>8</xdr:col>
      <xdr:colOff>847725</xdr:colOff>
      <xdr:row>46</xdr:row>
      <xdr:rowOff>304800</xdr:rowOff>
    </xdr:to>
    <xdr:pic>
      <xdr:nvPicPr>
        <xdr:cNvPr id="17518" name="Imagem 73" descr="Recorte de Tela">
          <a:extLst>
            <a:ext uri="{FF2B5EF4-FFF2-40B4-BE49-F238E27FC236}">
              <a16:creationId xmlns:a16="http://schemas.microsoft.com/office/drawing/2014/main" id="{00000000-0008-0000-0100-00006E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/>
            </a:ext>
          </a:extLst>
        </a:blip>
        <a:srcRect r="6124" b="2343"/>
        <a:stretch>
          <a:fillRect/>
        </a:stretch>
      </xdr:blipFill>
      <xdr:spPr bwMode="auto">
        <a:xfrm>
          <a:off x="6943725" y="6848475"/>
          <a:ext cx="1152525" cy="2495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152400</xdr:colOff>
      <xdr:row>57</xdr:row>
      <xdr:rowOff>200025</xdr:rowOff>
    </xdr:from>
    <xdr:to>
      <xdr:col>3</xdr:col>
      <xdr:colOff>238125</xdr:colOff>
      <xdr:row>59</xdr:row>
      <xdr:rowOff>57150</xdr:rowOff>
    </xdr:to>
    <xdr:sp macro="" textlink="">
      <xdr:nvSpPr>
        <xdr:cNvPr id="17519" name="Rectangle 3288">
          <a:extLst>
            <a:ext uri="{FF2B5EF4-FFF2-40B4-BE49-F238E27FC236}">
              <a16:creationId xmlns:a16="http://schemas.microsoft.com/office/drawing/2014/main" id="{00000000-0008-0000-0100-00006F440000}"/>
            </a:ext>
          </a:extLst>
        </xdr:cNvPr>
        <xdr:cNvSpPr>
          <a:spLocks noChangeArrowheads="1"/>
        </xdr:cNvSpPr>
      </xdr:nvSpPr>
      <xdr:spPr bwMode="auto">
        <a:xfrm>
          <a:off x="1962150" y="11668125"/>
          <a:ext cx="1381125" cy="22860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3</xdr:col>
      <xdr:colOff>704849</xdr:colOff>
      <xdr:row>62</xdr:row>
      <xdr:rowOff>28574</xdr:rowOff>
    </xdr:from>
    <xdr:to>
      <xdr:col>6</xdr:col>
      <xdr:colOff>357824</xdr:colOff>
      <xdr:row>62</xdr:row>
      <xdr:rowOff>270781</xdr:rowOff>
    </xdr:to>
    <xdr:sp macro="" textlink="">
      <xdr:nvSpPr>
        <xdr:cNvPr id="17520" name="Rectangle 3288">
          <a:extLst>
            <a:ext uri="{FF2B5EF4-FFF2-40B4-BE49-F238E27FC236}">
              <a16:creationId xmlns:a16="http://schemas.microsoft.com/office/drawing/2014/main" id="{00000000-0008-0000-0100-000070440000}"/>
            </a:ext>
          </a:extLst>
        </xdr:cNvPr>
        <xdr:cNvSpPr>
          <a:spLocks noChangeArrowheads="1"/>
        </xdr:cNvSpPr>
      </xdr:nvSpPr>
      <xdr:spPr bwMode="auto">
        <a:xfrm>
          <a:off x="3809999" y="12353924"/>
          <a:ext cx="2520000" cy="242207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3</xdr:col>
      <xdr:colOff>66673</xdr:colOff>
      <xdr:row>63</xdr:row>
      <xdr:rowOff>66674</xdr:rowOff>
    </xdr:from>
    <xdr:to>
      <xdr:col>4</xdr:col>
      <xdr:colOff>942975</xdr:colOff>
      <xdr:row>63</xdr:row>
      <xdr:rowOff>342899</xdr:rowOff>
    </xdr:to>
    <xdr:sp macro="" textlink="">
      <xdr:nvSpPr>
        <xdr:cNvPr id="17521" name="Rectangle 3288">
          <a:extLst>
            <a:ext uri="{FF2B5EF4-FFF2-40B4-BE49-F238E27FC236}">
              <a16:creationId xmlns:a16="http://schemas.microsoft.com/office/drawing/2014/main" id="{00000000-0008-0000-0100-000071440000}"/>
            </a:ext>
          </a:extLst>
        </xdr:cNvPr>
        <xdr:cNvSpPr>
          <a:spLocks noChangeArrowheads="1"/>
        </xdr:cNvSpPr>
      </xdr:nvSpPr>
      <xdr:spPr bwMode="auto">
        <a:xfrm>
          <a:off x="3171823" y="12668249"/>
          <a:ext cx="1743077" cy="2762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/>
        <a:lstStyle/>
        <a:p>
          <a:endParaRPr lang="pt-BR"/>
        </a:p>
      </xdr:txBody>
    </xdr:sp>
    <xdr:clientData/>
  </xdr:twoCellAnchor>
  <xdr:twoCellAnchor editAs="absolute">
    <xdr:from>
      <xdr:col>2</xdr:col>
      <xdr:colOff>381000</xdr:colOff>
      <xdr:row>69</xdr:row>
      <xdr:rowOff>19050</xdr:rowOff>
    </xdr:from>
    <xdr:to>
      <xdr:col>2</xdr:col>
      <xdr:colOff>942975</xdr:colOff>
      <xdr:row>70</xdr:row>
      <xdr:rowOff>0</xdr:rowOff>
    </xdr:to>
    <xdr:sp macro="" textlink="">
      <xdr:nvSpPr>
        <xdr:cNvPr id="17522" name="Rectangle 3288">
          <a:extLst>
            <a:ext uri="{FF2B5EF4-FFF2-40B4-BE49-F238E27FC236}">
              <a16:creationId xmlns:a16="http://schemas.microsoft.com/office/drawing/2014/main" id="{00000000-0008-0000-0100-000072440000}"/>
            </a:ext>
          </a:extLst>
        </xdr:cNvPr>
        <xdr:cNvSpPr>
          <a:spLocks noChangeArrowheads="1"/>
        </xdr:cNvSpPr>
      </xdr:nvSpPr>
      <xdr:spPr bwMode="auto">
        <a:xfrm>
          <a:off x="2190750" y="13763625"/>
          <a:ext cx="561975" cy="26670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1</xdr:col>
      <xdr:colOff>590550</xdr:colOff>
      <xdr:row>69</xdr:row>
      <xdr:rowOff>28575</xdr:rowOff>
    </xdr:from>
    <xdr:to>
      <xdr:col>1</xdr:col>
      <xdr:colOff>1057275</xdr:colOff>
      <xdr:row>70</xdr:row>
      <xdr:rowOff>0</xdr:rowOff>
    </xdr:to>
    <xdr:sp macro="" textlink="">
      <xdr:nvSpPr>
        <xdr:cNvPr id="17523" name="Rectangle 3288">
          <a:extLst>
            <a:ext uri="{FF2B5EF4-FFF2-40B4-BE49-F238E27FC236}">
              <a16:creationId xmlns:a16="http://schemas.microsoft.com/office/drawing/2014/main" id="{00000000-0008-0000-0100-000073440000}"/>
            </a:ext>
          </a:extLst>
        </xdr:cNvPr>
        <xdr:cNvSpPr>
          <a:spLocks noChangeArrowheads="1"/>
        </xdr:cNvSpPr>
      </xdr:nvSpPr>
      <xdr:spPr bwMode="auto">
        <a:xfrm>
          <a:off x="809625" y="13773150"/>
          <a:ext cx="466725" cy="2571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3</xdr:col>
      <xdr:colOff>561975</xdr:colOff>
      <xdr:row>57</xdr:row>
      <xdr:rowOff>9525</xdr:rowOff>
    </xdr:from>
    <xdr:to>
      <xdr:col>4</xdr:col>
      <xdr:colOff>466725</xdr:colOff>
      <xdr:row>62</xdr:row>
      <xdr:rowOff>28575</xdr:rowOff>
    </xdr:to>
    <xdr:pic>
      <xdr:nvPicPr>
        <xdr:cNvPr id="17524" name="Picture 579" descr="!À">
          <a:extLst>
            <a:ext uri="{FF2B5EF4-FFF2-40B4-BE49-F238E27FC236}">
              <a16:creationId xmlns:a16="http://schemas.microsoft.com/office/drawing/2014/main" id="{00000000-0008-0000-0100-000074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667125" y="11477625"/>
          <a:ext cx="7715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152400</xdr:colOff>
      <xdr:row>59</xdr:row>
      <xdr:rowOff>133350</xdr:rowOff>
    </xdr:from>
    <xdr:to>
      <xdr:col>3</xdr:col>
      <xdr:colOff>238125</xdr:colOff>
      <xdr:row>61</xdr:row>
      <xdr:rowOff>38100</xdr:rowOff>
    </xdr:to>
    <xdr:sp macro="" textlink="">
      <xdr:nvSpPr>
        <xdr:cNvPr id="17525" name="Rectangle 3288">
          <a:extLst>
            <a:ext uri="{FF2B5EF4-FFF2-40B4-BE49-F238E27FC236}">
              <a16:creationId xmlns:a16="http://schemas.microsoft.com/office/drawing/2014/main" id="{00000000-0008-0000-0100-000075440000}"/>
            </a:ext>
          </a:extLst>
        </xdr:cNvPr>
        <xdr:cNvSpPr>
          <a:spLocks noChangeArrowheads="1"/>
        </xdr:cNvSpPr>
      </xdr:nvSpPr>
      <xdr:spPr bwMode="auto">
        <a:xfrm>
          <a:off x="1962150" y="11972925"/>
          <a:ext cx="1381125" cy="22860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2</xdr:col>
      <xdr:colOff>0</xdr:colOff>
      <xdr:row>29</xdr:row>
      <xdr:rowOff>238125</xdr:rowOff>
    </xdr:from>
    <xdr:to>
      <xdr:col>3</xdr:col>
      <xdr:colOff>495300</xdr:colOff>
      <xdr:row>30</xdr:row>
      <xdr:rowOff>238125</xdr:rowOff>
    </xdr:to>
    <xdr:sp macro="" textlink="">
      <xdr:nvSpPr>
        <xdr:cNvPr id="17526" name="Rectangle 3287">
          <a:extLst>
            <a:ext uri="{FF2B5EF4-FFF2-40B4-BE49-F238E27FC236}">
              <a16:creationId xmlns:a16="http://schemas.microsoft.com/office/drawing/2014/main" id="{00000000-0008-0000-0100-000076440000}"/>
            </a:ext>
          </a:extLst>
        </xdr:cNvPr>
        <xdr:cNvSpPr>
          <a:spLocks noChangeArrowheads="1"/>
        </xdr:cNvSpPr>
      </xdr:nvSpPr>
      <xdr:spPr bwMode="auto">
        <a:xfrm>
          <a:off x="1809750" y="6086475"/>
          <a:ext cx="1790700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2</xdr:col>
      <xdr:colOff>57150</xdr:colOff>
      <xdr:row>26</xdr:row>
      <xdr:rowOff>28575</xdr:rowOff>
    </xdr:from>
    <xdr:to>
      <xdr:col>2</xdr:col>
      <xdr:colOff>1181100</xdr:colOff>
      <xdr:row>26</xdr:row>
      <xdr:rowOff>276225</xdr:rowOff>
    </xdr:to>
    <xdr:sp macro="" textlink="">
      <xdr:nvSpPr>
        <xdr:cNvPr id="17527" name="Rectangle 3287">
          <a:extLst>
            <a:ext uri="{FF2B5EF4-FFF2-40B4-BE49-F238E27FC236}">
              <a16:creationId xmlns:a16="http://schemas.microsoft.com/office/drawing/2014/main" id="{00000000-0008-0000-0100-000077440000}"/>
            </a:ext>
          </a:extLst>
        </xdr:cNvPr>
        <xdr:cNvSpPr>
          <a:spLocks noChangeArrowheads="1"/>
        </xdr:cNvSpPr>
      </xdr:nvSpPr>
      <xdr:spPr bwMode="auto">
        <a:xfrm>
          <a:off x="1866900" y="5086350"/>
          <a:ext cx="1123950" cy="24765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4</xdr:col>
      <xdr:colOff>104775</xdr:colOff>
      <xdr:row>117</xdr:row>
      <xdr:rowOff>40821</xdr:rowOff>
    </xdr:from>
    <xdr:to>
      <xdr:col>4</xdr:col>
      <xdr:colOff>190500</xdr:colOff>
      <xdr:row>118</xdr:row>
      <xdr:rowOff>47625</xdr:rowOff>
    </xdr:to>
    <xdr:sp macro="" textlink="">
      <xdr:nvSpPr>
        <xdr:cNvPr id="17529" name="Line 315">
          <a:extLst>
            <a:ext uri="{FF2B5EF4-FFF2-40B4-BE49-F238E27FC236}">
              <a16:creationId xmlns:a16="http://schemas.microsoft.com/office/drawing/2014/main" id="{00000000-0008-0000-0100-000079440000}"/>
            </a:ext>
          </a:extLst>
        </xdr:cNvPr>
        <xdr:cNvSpPr>
          <a:spLocks noChangeShapeType="1"/>
        </xdr:cNvSpPr>
      </xdr:nvSpPr>
      <xdr:spPr bwMode="auto">
        <a:xfrm flipV="1">
          <a:off x="4076700" y="15106650"/>
          <a:ext cx="85725" cy="200025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absolute">
    <xdr:from>
      <xdr:col>3</xdr:col>
      <xdr:colOff>823232</xdr:colOff>
      <xdr:row>109</xdr:row>
      <xdr:rowOff>66675</xdr:rowOff>
    </xdr:from>
    <xdr:to>
      <xdr:col>5</xdr:col>
      <xdr:colOff>19050</xdr:colOff>
      <xdr:row>117</xdr:row>
      <xdr:rowOff>0</xdr:rowOff>
    </xdr:to>
    <xdr:sp macro="" textlink="">
      <xdr:nvSpPr>
        <xdr:cNvPr id="17530" name="Rectangle 3484">
          <a:extLst>
            <a:ext uri="{FF2B5EF4-FFF2-40B4-BE49-F238E27FC236}">
              <a16:creationId xmlns:a16="http://schemas.microsoft.com/office/drawing/2014/main" id="{00000000-0008-0000-0100-00007A440000}"/>
            </a:ext>
          </a:extLst>
        </xdr:cNvPr>
        <xdr:cNvSpPr>
          <a:spLocks noChangeArrowheads="1"/>
        </xdr:cNvSpPr>
      </xdr:nvSpPr>
      <xdr:spPr bwMode="auto">
        <a:xfrm>
          <a:off x="3924300" y="14525625"/>
          <a:ext cx="1095375" cy="54292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2</xdr:col>
      <xdr:colOff>120795</xdr:colOff>
      <xdr:row>17</xdr:row>
      <xdr:rowOff>38100</xdr:rowOff>
    </xdr:from>
    <xdr:to>
      <xdr:col>2</xdr:col>
      <xdr:colOff>1056795</xdr:colOff>
      <xdr:row>19</xdr:row>
      <xdr:rowOff>47625</xdr:rowOff>
    </xdr:to>
    <xdr:sp macro="" textlink="">
      <xdr:nvSpPr>
        <xdr:cNvPr id="17531" name="Rectangle 3287">
          <a:extLst>
            <a:ext uri="{FF2B5EF4-FFF2-40B4-BE49-F238E27FC236}">
              <a16:creationId xmlns:a16="http://schemas.microsoft.com/office/drawing/2014/main" id="{00000000-0008-0000-0100-00007B440000}"/>
            </a:ext>
          </a:extLst>
        </xdr:cNvPr>
        <xdr:cNvSpPr>
          <a:spLocks noChangeArrowheads="1"/>
        </xdr:cNvSpPr>
      </xdr:nvSpPr>
      <xdr:spPr bwMode="auto">
        <a:xfrm>
          <a:off x="1933575" y="3771900"/>
          <a:ext cx="933450" cy="2571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2</xdr:col>
      <xdr:colOff>142875</xdr:colOff>
      <xdr:row>19</xdr:row>
      <xdr:rowOff>123825</xdr:rowOff>
    </xdr:from>
    <xdr:to>
      <xdr:col>2</xdr:col>
      <xdr:colOff>1078875</xdr:colOff>
      <xdr:row>23</xdr:row>
      <xdr:rowOff>17475</xdr:rowOff>
    </xdr:to>
    <xdr:sp macro="" textlink="">
      <xdr:nvSpPr>
        <xdr:cNvPr id="17532" name="Rectangle 3287">
          <a:extLst>
            <a:ext uri="{FF2B5EF4-FFF2-40B4-BE49-F238E27FC236}">
              <a16:creationId xmlns:a16="http://schemas.microsoft.com/office/drawing/2014/main" id="{00000000-0008-0000-0100-00007C440000}"/>
            </a:ext>
          </a:extLst>
        </xdr:cNvPr>
        <xdr:cNvSpPr>
          <a:spLocks noChangeArrowheads="1"/>
        </xdr:cNvSpPr>
      </xdr:nvSpPr>
      <xdr:spPr bwMode="auto">
        <a:xfrm>
          <a:off x="1952625" y="4105275"/>
          <a:ext cx="933450" cy="2571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/>
        <a:lstStyle/>
        <a:p>
          <a:endParaRPr lang="pt-BR"/>
        </a:p>
      </xdr:txBody>
    </xdr:sp>
    <xdr:clientData/>
  </xdr:twoCellAnchor>
  <xdr:twoCellAnchor editAs="oneCell">
    <xdr:from>
      <xdr:col>0</xdr:col>
      <xdr:colOff>28575</xdr:colOff>
      <xdr:row>0</xdr:row>
      <xdr:rowOff>47625</xdr:rowOff>
    </xdr:from>
    <xdr:to>
      <xdr:col>1</xdr:col>
      <xdr:colOff>1276350</xdr:colOff>
      <xdr:row>0</xdr:row>
      <xdr:rowOff>504825</xdr:rowOff>
    </xdr:to>
    <xdr:pic>
      <xdr:nvPicPr>
        <xdr:cNvPr id="17533" name="Imagem 85" descr="cid:image001.jpg@01D2AC8B.331BD7A0">
          <a:extLst>
            <a:ext uri="{FF2B5EF4-FFF2-40B4-BE49-F238E27FC236}">
              <a16:creationId xmlns:a16="http://schemas.microsoft.com/office/drawing/2014/main" id="{00000000-0008-0000-0100-00007D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8575" y="47625"/>
          <a:ext cx="14668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25853</xdr:colOff>
      <xdr:row>109</xdr:row>
      <xdr:rowOff>57151</xdr:rowOff>
    </xdr:from>
    <xdr:to>
      <xdr:col>2</xdr:col>
      <xdr:colOff>1247775</xdr:colOff>
      <xdr:row>116</xdr:row>
      <xdr:rowOff>136072</xdr:rowOff>
    </xdr:to>
    <xdr:sp macro="" textlink="">
      <xdr:nvSpPr>
        <xdr:cNvPr id="86" name="Rectangle 3484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>
          <a:spLocks noChangeArrowheads="1"/>
        </xdr:cNvSpPr>
      </xdr:nvSpPr>
      <xdr:spPr bwMode="auto">
        <a:xfrm>
          <a:off x="1838325" y="14516100"/>
          <a:ext cx="1219200" cy="5238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2</xdr:col>
      <xdr:colOff>1247775</xdr:colOff>
      <xdr:row>17</xdr:row>
      <xdr:rowOff>38100</xdr:rowOff>
    </xdr:from>
    <xdr:to>
      <xdr:col>4</xdr:col>
      <xdr:colOff>21600</xdr:colOff>
      <xdr:row>19</xdr:row>
      <xdr:rowOff>47625</xdr:rowOff>
    </xdr:to>
    <xdr:sp macro="" textlink="">
      <xdr:nvSpPr>
        <xdr:cNvPr id="87" name="Rectangle 3287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>
          <a:spLocks noChangeArrowheads="1"/>
        </xdr:cNvSpPr>
      </xdr:nvSpPr>
      <xdr:spPr bwMode="auto">
        <a:xfrm>
          <a:off x="3057525" y="3771900"/>
          <a:ext cx="933450" cy="2571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2</xdr:col>
      <xdr:colOff>1257300</xdr:colOff>
      <xdr:row>19</xdr:row>
      <xdr:rowOff>123825</xdr:rowOff>
    </xdr:from>
    <xdr:to>
      <xdr:col>4</xdr:col>
      <xdr:colOff>31125</xdr:colOff>
      <xdr:row>23</xdr:row>
      <xdr:rowOff>17475</xdr:rowOff>
    </xdr:to>
    <xdr:sp macro="" textlink="">
      <xdr:nvSpPr>
        <xdr:cNvPr id="88" name="Rectangle 3287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>
          <a:spLocks noChangeArrowheads="1"/>
        </xdr:cNvSpPr>
      </xdr:nvSpPr>
      <xdr:spPr bwMode="auto">
        <a:xfrm>
          <a:off x="3067050" y="4105275"/>
          <a:ext cx="933450" cy="257175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/>
        <a:lstStyle/>
        <a:p>
          <a:pPr marL="0" indent="0"/>
          <a:endParaRPr lang="pt-BR" sz="1100"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781050</xdr:colOff>
      <xdr:row>126</xdr:row>
      <xdr:rowOff>152400</xdr:rowOff>
    </xdr:from>
    <xdr:to>
      <xdr:col>6</xdr:col>
      <xdr:colOff>28575</xdr:colOff>
      <xdr:row>129</xdr:row>
      <xdr:rowOff>66675</xdr:rowOff>
    </xdr:to>
    <xdr:sp macro="" textlink="">
      <xdr:nvSpPr>
        <xdr:cNvPr id="89" name="Line 307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>
          <a:spLocks noChangeShapeType="1"/>
        </xdr:cNvSpPr>
      </xdr:nvSpPr>
      <xdr:spPr bwMode="auto">
        <a:xfrm>
          <a:off x="5781675" y="16811625"/>
          <a:ext cx="219075" cy="466725"/>
        </a:xfrm>
        <a:prstGeom prst="line">
          <a:avLst/>
        </a:prstGeom>
        <a:noFill/>
        <a:ln w="9525">
          <a:solidFill>
            <a:srgbClr val="000000"/>
          </a:solidFill>
          <a:rou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absolute">
    <xdr:from>
      <xdr:col>5</xdr:col>
      <xdr:colOff>123825</xdr:colOff>
      <xdr:row>129</xdr:row>
      <xdr:rowOff>85725</xdr:rowOff>
    </xdr:from>
    <xdr:to>
      <xdr:col>8</xdr:col>
      <xdr:colOff>647925</xdr:colOff>
      <xdr:row>133</xdr:row>
      <xdr:rowOff>152400</xdr:rowOff>
    </xdr:to>
    <xdr:sp macro="" textlink="">
      <xdr:nvSpPr>
        <xdr:cNvPr id="90" name="Rectangle 329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>
          <a:spLocks noChangeArrowheads="1"/>
        </xdr:cNvSpPr>
      </xdr:nvSpPr>
      <xdr:spPr bwMode="auto">
        <a:xfrm>
          <a:off x="5124450" y="17297400"/>
          <a:ext cx="2771775" cy="74295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76200</xdr:colOff>
      <xdr:row>15</xdr:row>
      <xdr:rowOff>38100</xdr:rowOff>
    </xdr:from>
    <xdr:to>
      <xdr:col>10</xdr:col>
      <xdr:colOff>1133475</xdr:colOff>
      <xdr:row>24</xdr:row>
      <xdr:rowOff>66675</xdr:rowOff>
    </xdr:to>
    <xdr:pic>
      <xdr:nvPicPr>
        <xdr:cNvPr id="5221" name="Imagem 1">
          <a:extLst>
            <a:ext uri="{FF2B5EF4-FFF2-40B4-BE49-F238E27FC236}">
              <a16:creationId xmlns:a16="http://schemas.microsoft.com/office/drawing/2014/main" id="{00000000-0008-0000-03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515100" y="3590925"/>
          <a:ext cx="2286000" cy="1581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485775</xdr:colOff>
          <xdr:row>2</xdr:row>
          <xdr:rowOff>28575</xdr:rowOff>
        </xdr:from>
        <xdr:to>
          <xdr:col>1</xdr:col>
          <xdr:colOff>1266825</xdr:colOff>
          <xdr:row>2</xdr:row>
          <xdr:rowOff>428625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4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2</xdr:row>
          <xdr:rowOff>0</xdr:rowOff>
        </xdr:from>
        <xdr:to>
          <xdr:col>2</xdr:col>
          <xdr:colOff>1028700</xdr:colOff>
          <xdr:row>2</xdr:row>
          <xdr:rowOff>428625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4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942975</xdr:colOff>
      <xdr:row>5</xdr:row>
      <xdr:rowOff>266700</xdr:rowOff>
    </xdr:from>
    <xdr:to>
      <xdr:col>8</xdr:col>
      <xdr:colOff>0</xdr:colOff>
      <xdr:row>11</xdr:row>
      <xdr:rowOff>9525</xdr:rowOff>
    </xdr:to>
    <xdr:sp macro="" textlink="">
      <xdr:nvSpPr>
        <xdr:cNvPr id="8545" name="Rectangle 2">
          <a:extLst>
            <a:ext uri="{FF2B5EF4-FFF2-40B4-BE49-F238E27FC236}">
              <a16:creationId xmlns:a16="http://schemas.microsoft.com/office/drawing/2014/main" id="{00000000-0008-0000-0600-000061210000}"/>
            </a:ext>
          </a:extLst>
        </xdr:cNvPr>
        <xdr:cNvSpPr>
          <a:spLocks noChangeArrowheads="1"/>
        </xdr:cNvSpPr>
      </xdr:nvSpPr>
      <xdr:spPr bwMode="auto">
        <a:xfrm>
          <a:off x="6029325" y="1752600"/>
          <a:ext cx="2667000" cy="1457325"/>
        </a:xfrm>
        <a:prstGeom prst="rect">
          <a:avLst/>
        </a:prstGeom>
        <a:noFill/>
        <a:ln w="38100">
          <a:solidFill>
            <a:srgbClr val="FF0000"/>
          </a:solidFill>
          <a:miter lim="800000"/>
        </a:ln>
        <a:effectLst/>
        <a:extLst>
          <a:ext uri="{909E8E84-426E-40DD-AFC4-6F175D3DCCD1}">
            <a14:hiddenFill xmlns:a14="http://schemas.microsoft.com/office/drawing/2010/main">
              <a:solidFill>
                <a:srgbClr val="00CC99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11</xdr:col>
      <xdr:colOff>152400</xdr:colOff>
      <xdr:row>18</xdr:row>
      <xdr:rowOff>28575</xdr:rowOff>
    </xdr:from>
    <xdr:to>
      <xdr:col>12</xdr:col>
      <xdr:colOff>561975</xdr:colOff>
      <xdr:row>19</xdr:row>
      <xdr:rowOff>152400</xdr:rowOff>
    </xdr:to>
    <xdr:sp macro="" textlink="">
      <xdr:nvSpPr>
        <xdr:cNvPr id="3" name="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11687175" y="5229225"/>
          <a:ext cx="1095375" cy="409575"/>
        </a:xfrm>
        <a:prstGeom prst="rect">
          <a:avLst/>
        </a:prstGeom>
        <a:noFill/>
        <a:ln w="25400">
          <a:solidFill>
            <a:srgbClr val="00008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80" mc:Ignorable="a14" a14:legacySpreadsheetColorIndex="18"/>
              </a:solidFill>
            </a14:hiddenFill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/>
          <a:r>
            <a:rPr lang="pt-BR" sz="1000" b="1" i="0" u="none" baseline="0">
              <a:solidFill>
                <a:srgbClr val="000080"/>
              </a:solidFill>
              <a:latin typeface="Arial"/>
              <a:cs typeface="Arial"/>
            </a:rPr>
            <a:t>VOLTA</a:t>
          </a:r>
        </a:p>
      </xdr:txBody>
    </xdr:sp>
    <xdr:clientData/>
  </xdr:twoCellAnchor>
  <xdr:twoCellAnchor>
    <xdr:from>
      <xdr:col>4</xdr:col>
      <xdr:colOff>723900</xdr:colOff>
      <xdr:row>9</xdr:row>
      <xdr:rowOff>0</xdr:rowOff>
    </xdr:from>
    <xdr:to>
      <xdr:col>5</xdr:col>
      <xdr:colOff>942975</xdr:colOff>
      <xdr:row>9</xdr:row>
      <xdr:rowOff>0</xdr:rowOff>
    </xdr:to>
    <xdr:sp macro="" textlink="">
      <xdr:nvSpPr>
        <xdr:cNvPr id="8547" name="Line 5">
          <a:extLst>
            <a:ext uri="{FF2B5EF4-FFF2-40B4-BE49-F238E27FC236}">
              <a16:creationId xmlns:a16="http://schemas.microsoft.com/office/drawing/2014/main" id="{00000000-0008-0000-0600-000063210000}"/>
            </a:ext>
          </a:extLst>
        </xdr:cNvPr>
        <xdr:cNvSpPr>
          <a:spLocks noChangeShapeType="1"/>
        </xdr:cNvSpPr>
      </xdr:nvSpPr>
      <xdr:spPr bwMode="auto">
        <a:xfrm>
          <a:off x="3667125" y="2628900"/>
          <a:ext cx="2362200" cy="0"/>
        </a:xfrm>
        <a:prstGeom prst="line">
          <a:avLst/>
        </a:prstGeom>
        <a:noFill/>
        <a:ln w="25400">
          <a:solidFill>
            <a:srgbClr val="FF0000"/>
          </a:solidFill>
          <a:rou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13</xdr:col>
      <xdr:colOff>0</xdr:colOff>
      <xdr:row>20</xdr:row>
      <xdr:rowOff>0</xdr:rowOff>
    </xdr:to>
    <xdr:sp macro="" textlink="">
      <xdr:nvSpPr>
        <xdr:cNvPr id="8548" name="Rectangle 8">
          <a:extLst>
            <a:ext uri="{FF2B5EF4-FFF2-40B4-BE49-F238E27FC236}">
              <a16:creationId xmlns:a16="http://schemas.microsoft.com/office/drawing/2014/main" id="{00000000-0008-0000-0600-000064210000}"/>
            </a:ext>
          </a:extLst>
        </xdr:cNvPr>
        <xdr:cNvSpPr>
          <a:spLocks noChangeArrowheads="1"/>
        </xdr:cNvSpPr>
      </xdr:nvSpPr>
      <xdr:spPr bwMode="auto">
        <a:xfrm>
          <a:off x="685800" y="285750"/>
          <a:ext cx="12220575" cy="548640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107763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781050</xdr:colOff>
      <xdr:row>45</xdr:row>
      <xdr:rowOff>57150</xdr:rowOff>
    </xdr:from>
    <xdr:to>
      <xdr:col>8</xdr:col>
      <xdr:colOff>819150</xdr:colOff>
      <xdr:row>47</xdr:row>
      <xdr:rowOff>133350</xdr:rowOff>
    </xdr:to>
    <xdr:sp macro="" textlink="">
      <xdr:nvSpPr>
        <xdr:cNvPr id="2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 noChangeArrowheads="1"/>
        </xdr:cNvSpPr>
      </xdr:nvSpPr>
      <xdr:spPr bwMode="auto">
        <a:xfrm>
          <a:off x="8439150" y="7600950"/>
          <a:ext cx="1095375" cy="409575"/>
        </a:xfrm>
        <a:prstGeom prst="rect">
          <a:avLst/>
        </a:prstGeom>
        <a:noFill/>
        <a:ln w="25400">
          <a:solidFill>
            <a:srgbClr val="00008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80" mc:Ignorable="a14" a14:legacySpreadsheetColorIndex="18"/>
              </a:solidFill>
            </a14:hiddenFill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/>
          <a:r>
            <a:rPr lang="pt-BR" sz="1000" b="1" i="0" u="none" baseline="0">
              <a:solidFill>
                <a:srgbClr val="000080"/>
              </a:solidFill>
              <a:latin typeface="Arial"/>
              <a:cs typeface="Arial"/>
            </a:rPr>
            <a:t>VOLTA</a:t>
          </a:r>
        </a:p>
      </xdr:txBody>
    </xdr:sp>
    <xdr:clientData/>
  </xdr:twoCellAnchor>
  <xdr:twoCellAnchor>
    <xdr:from>
      <xdr:col>2</xdr:col>
      <xdr:colOff>0</xdr:colOff>
      <xdr:row>1</xdr:row>
      <xdr:rowOff>0</xdr:rowOff>
    </xdr:from>
    <xdr:to>
      <xdr:col>8</xdr:col>
      <xdr:colOff>0</xdr:colOff>
      <xdr:row>2</xdr:row>
      <xdr:rowOff>0</xdr:rowOff>
    </xdr:to>
    <xdr:sp macro="" textlink="">
      <xdr:nvSpPr>
        <xdr:cNvPr id="9482" name="Rectangle 7">
          <a:extLst>
            <a:ext uri="{FF2B5EF4-FFF2-40B4-BE49-F238E27FC236}">
              <a16:creationId xmlns:a16="http://schemas.microsoft.com/office/drawing/2014/main" id="{00000000-0008-0000-0800-00000A250000}"/>
            </a:ext>
          </a:extLst>
        </xdr:cNvPr>
        <xdr:cNvSpPr>
          <a:spLocks noChangeArrowheads="1"/>
        </xdr:cNvSpPr>
      </xdr:nvSpPr>
      <xdr:spPr bwMode="auto">
        <a:xfrm>
          <a:off x="2114550" y="171450"/>
          <a:ext cx="6600825" cy="40005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</xdr:col>
      <xdr:colOff>0</xdr:colOff>
      <xdr:row>1</xdr:row>
      <xdr:rowOff>0</xdr:rowOff>
    </xdr:from>
    <xdr:to>
      <xdr:col>9</xdr:col>
      <xdr:colOff>0</xdr:colOff>
      <xdr:row>49</xdr:row>
      <xdr:rowOff>0</xdr:rowOff>
    </xdr:to>
    <xdr:sp macro="" textlink="">
      <xdr:nvSpPr>
        <xdr:cNvPr id="9483" name="Rectangle 8">
          <a:extLst>
            <a:ext uri="{FF2B5EF4-FFF2-40B4-BE49-F238E27FC236}">
              <a16:creationId xmlns:a16="http://schemas.microsoft.com/office/drawing/2014/main" id="{00000000-0008-0000-0800-00000B250000}"/>
            </a:ext>
          </a:extLst>
        </xdr:cNvPr>
        <xdr:cNvSpPr>
          <a:spLocks noChangeArrowheads="1"/>
        </xdr:cNvSpPr>
      </xdr:nvSpPr>
      <xdr:spPr bwMode="auto">
        <a:xfrm>
          <a:off x="1057275" y="171450"/>
          <a:ext cx="8715375" cy="8039100"/>
        </a:xfrm>
        <a:prstGeom prst="rect">
          <a:avLst/>
        </a:prstGeom>
        <a:noFill/>
        <a:ln w="9525">
          <a:solidFill>
            <a:srgbClr val="000000"/>
          </a:solidFill>
          <a:miter lim="800000"/>
        </a:ln>
        <a:effectLst>
          <a:outerShdw dist="107763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u10043\Documents\ANEXO%20NT%2031%20002%20-%20Dimensionamento%20SE%20A&#233;re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"/>
      <sheetName val="CONFIGURAÇÕES"/>
      <sheetName val="GERAL"/>
      <sheetName val="TAB 02"/>
      <sheetName val="TAB 03"/>
      <sheetName val="TAB 04"/>
      <sheetName val="TAB 20 "/>
      <sheetName val="Para Raios"/>
      <sheetName val="TAB 26"/>
      <sheetName val="Pararraios"/>
      <sheetName val="TAPs Primário"/>
      <sheetName val="AJUDA"/>
    </sheetNames>
    <sheetDataSet>
      <sheetData sheetId="0"/>
      <sheetData sheetId="1"/>
      <sheetData sheetId="2"/>
      <sheetData sheetId="3"/>
      <sheetData sheetId="4">
        <row r="15">
          <cell r="P15">
            <v>30</v>
          </cell>
          <cell r="Q15" t="str">
            <v>220/127</v>
          </cell>
          <cell r="R15">
            <v>87</v>
          </cell>
          <cell r="S15">
            <v>0</v>
          </cell>
          <cell r="T15">
            <v>80</v>
          </cell>
          <cell r="U15">
            <v>0</v>
          </cell>
          <cell r="V15" t="str">
            <v>3#25 (25)</v>
          </cell>
          <cell r="W15">
            <v>0</v>
          </cell>
          <cell r="X15" t="str">
            <v>40 (1 1/2")</v>
          </cell>
          <cell r="Y15">
            <v>0</v>
          </cell>
          <cell r="Z15">
            <v>25</v>
          </cell>
          <cell r="AA15">
            <v>0</v>
          </cell>
          <cell r="AB15">
            <v>2</v>
          </cell>
        </row>
        <row r="16">
          <cell r="A16" t="str">
            <v>Até 15</v>
          </cell>
          <cell r="B16" t="str">
            <v>380/220</v>
          </cell>
          <cell r="C16">
            <v>25</v>
          </cell>
          <cell r="D16">
            <v>0</v>
          </cell>
          <cell r="E16">
            <v>25</v>
          </cell>
          <cell r="F16">
            <v>0</v>
          </cell>
          <cell r="G16" t="str">
            <v>3#6 (6)</v>
          </cell>
          <cell r="H16">
            <v>0</v>
          </cell>
          <cell r="I16" t="str">
            <v>20 (3/4")</v>
          </cell>
          <cell r="J16">
            <v>0</v>
          </cell>
          <cell r="K16">
            <v>25</v>
          </cell>
          <cell r="L16">
            <v>2</v>
          </cell>
          <cell r="M16">
            <v>0</v>
          </cell>
          <cell r="P16">
            <v>45</v>
          </cell>
          <cell r="Q16">
            <v>0</v>
          </cell>
          <cell r="R16">
            <v>129</v>
          </cell>
          <cell r="S16">
            <v>0</v>
          </cell>
          <cell r="T16">
            <v>125</v>
          </cell>
          <cell r="U16">
            <v>0</v>
          </cell>
          <cell r="V16" t="str">
            <v>3#35 (25)</v>
          </cell>
          <cell r="W16">
            <v>0</v>
          </cell>
          <cell r="X16" t="str">
            <v>40 (1 1/2")</v>
          </cell>
          <cell r="Y16">
            <v>0</v>
          </cell>
          <cell r="Z16">
            <v>25</v>
          </cell>
          <cell r="AA16">
            <v>0</v>
          </cell>
          <cell r="AB16">
            <v>2</v>
          </cell>
        </row>
        <row r="17">
          <cell r="A17">
            <v>30</v>
          </cell>
          <cell r="B17">
            <v>0</v>
          </cell>
          <cell r="C17">
            <v>50</v>
          </cell>
          <cell r="D17">
            <v>0</v>
          </cell>
          <cell r="E17">
            <v>50</v>
          </cell>
          <cell r="F17">
            <v>0</v>
          </cell>
          <cell r="G17" t="str">
            <v>3#10 (10)</v>
          </cell>
          <cell r="H17">
            <v>0</v>
          </cell>
          <cell r="I17" t="str">
            <v>25 (1")</v>
          </cell>
          <cell r="J17">
            <v>0</v>
          </cell>
          <cell r="K17">
            <v>25</v>
          </cell>
          <cell r="L17">
            <v>2</v>
          </cell>
          <cell r="M17">
            <v>0</v>
          </cell>
          <cell r="P17">
            <v>75</v>
          </cell>
          <cell r="Q17">
            <v>0</v>
          </cell>
          <cell r="R17">
            <v>216</v>
          </cell>
          <cell r="S17">
            <v>0</v>
          </cell>
          <cell r="T17">
            <v>200</v>
          </cell>
          <cell r="U17">
            <v>0</v>
          </cell>
          <cell r="V17" t="str">
            <v>3#70 (35)</v>
          </cell>
          <cell r="W17">
            <v>0</v>
          </cell>
          <cell r="X17" t="str">
            <v>65 (2 1/2")</v>
          </cell>
          <cell r="Y17">
            <v>0</v>
          </cell>
          <cell r="Z17">
            <v>50</v>
          </cell>
          <cell r="AA17">
            <v>0</v>
          </cell>
          <cell r="AB17" t="str">
            <v>1/0</v>
          </cell>
        </row>
        <row r="18">
          <cell r="A18">
            <v>45</v>
          </cell>
          <cell r="B18">
            <v>0</v>
          </cell>
          <cell r="C18">
            <v>75</v>
          </cell>
          <cell r="D18">
            <v>0</v>
          </cell>
          <cell r="E18">
            <v>70</v>
          </cell>
          <cell r="F18">
            <v>0</v>
          </cell>
          <cell r="G18" t="str">
            <v>3#16 (16)</v>
          </cell>
          <cell r="H18">
            <v>0</v>
          </cell>
          <cell r="I18" t="str">
            <v>32 (1 1/4")</v>
          </cell>
          <cell r="J18">
            <v>0</v>
          </cell>
          <cell r="K18">
            <v>25</v>
          </cell>
          <cell r="L18">
            <v>2</v>
          </cell>
          <cell r="M18">
            <v>0</v>
          </cell>
          <cell r="P18">
            <v>112.5</v>
          </cell>
          <cell r="Q18">
            <v>0</v>
          </cell>
          <cell r="R18">
            <v>325</v>
          </cell>
          <cell r="S18">
            <v>0</v>
          </cell>
          <cell r="T18">
            <v>300</v>
          </cell>
          <cell r="U18">
            <v>0</v>
          </cell>
          <cell r="V18" t="str">
            <v>3#150 (70)</v>
          </cell>
          <cell r="W18">
            <v>0</v>
          </cell>
          <cell r="X18" t="str">
            <v>80 (3")</v>
          </cell>
          <cell r="Y18">
            <v>0</v>
          </cell>
          <cell r="Z18">
            <v>50</v>
          </cell>
          <cell r="AA18">
            <v>0</v>
          </cell>
          <cell r="AB18" t="str">
            <v>1/0</v>
          </cell>
        </row>
        <row r="19">
          <cell r="A19">
            <v>75</v>
          </cell>
          <cell r="B19">
            <v>0</v>
          </cell>
          <cell r="C19">
            <v>125</v>
          </cell>
          <cell r="D19">
            <v>0</v>
          </cell>
          <cell r="E19">
            <v>125</v>
          </cell>
          <cell r="F19">
            <v>0</v>
          </cell>
          <cell r="G19" t="str">
            <v>3#35 (25)</v>
          </cell>
          <cell r="H19">
            <v>0</v>
          </cell>
          <cell r="I19" t="str">
            <v>32 (1 1/4")</v>
          </cell>
          <cell r="J19">
            <v>0</v>
          </cell>
          <cell r="K19">
            <v>25</v>
          </cell>
          <cell r="L19">
            <v>2</v>
          </cell>
          <cell r="M19">
            <v>0</v>
          </cell>
          <cell r="P19">
            <v>150</v>
          </cell>
          <cell r="Q19">
            <v>0</v>
          </cell>
          <cell r="R19">
            <v>433</v>
          </cell>
          <cell r="S19">
            <v>0</v>
          </cell>
          <cell r="T19">
            <v>400</v>
          </cell>
          <cell r="U19">
            <v>0</v>
          </cell>
          <cell r="V19" t="str">
            <v>2x3#70 (70)</v>
          </cell>
          <cell r="W19">
            <v>0</v>
          </cell>
          <cell r="X19" t="str">
            <v>100 (4")</v>
          </cell>
          <cell r="Y19">
            <v>0</v>
          </cell>
          <cell r="Z19">
            <v>50</v>
          </cell>
          <cell r="AA19">
            <v>0</v>
          </cell>
          <cell r="AB19" t="str">
            <v>1/0</v>
          </cell>
        </row>
        <row r="20">
          <cell r="A20">
            <v>112.5</v>
          </cell>
          <cell r="B20">
            <v>0</v>
          </cell>
          <cell r="C20">
            <v>188</v>
          </cell>
          <cell r="D20">
            <v>0</v>
          </cell>
          <cell r="E20">
            <v>175</v>
          </cell>
          <cell r="F20">
            <v>0</v>
          </cell>
          <cell r="G20" t="str">
            <v>3#70 (35)</v>
          </cell>
          <cell r="H20">
            <v>0</v>
          </cell>
          <cell r="I20" t="str">
            <v>50 (2")</v>
          </cell>
          <cell r="J20">
            <v>0</v>
          </cell>
          <cell r="K20">
            <v>25</v>
          </cell>
          <cell r="L20">
            <v>2</v>
          </cell>
          <cell r="M20">
            <v>0</v>
          </cell>
          <cell r="P20">
            <v>225</v>
          </cell>
          <cell r="Q20">
            <v>0</v>
          </cell>
          <cell r="R20">
            <v>656</v>
          </cell>
          <cell r="S20">
            <v>0</v>
          </cell>
          <cell r="T20">
            <v>600</v>
          </cell>
          <cell r="U20">
            <v>0</v>
          </cell>
          <cell r="V20" t="str">
            <v>2x3#150 (150)</v>
          </cell>
          <cell r="W20">
            <v>0</v>
          </cell>
          <cell r="X20" t="str">
            <v>100 (4")</v>
          </cell>
          <cell r="Y20">
            <v>0</v>
          </cell>
          <cell r="Z20">
            <v>50</v>
          </cell>
          <cell r="AA20">
            <v>0</v>
          </cell>
          <cell r="AB20" t="str">
            <v>1/0</v>
          </cell>
        </row>
        <row r="21">
          <cell r="A21">
            <v>150</v>
          </cell>
          <cell r="B21">
            <v>0</v>
          </cell>
          <cell r="C21">
            <v>250</v>
          </cell>
          <cell r="D21">
            <v>0</v>
          </cell>
          <cell r="E21">
            <v>250</v>
          </cell>
          <cell r="F21">
            <v>0</v>
          </cell>
          <cell r="G21" t="str">
            <v>3#95 (50)</v>
          </cell>
          <cell r="H21">
            <v>0</v>
          </cell>
          <cell r="I21" t="str">
            <v>65 (2 1/2")</v>
          </cell>
          <cell r="J21">
            <v>0</v>
          </cell>
          <cell r="K21">
            <v>50</v>
          </cell>
          <cell r="L21" t="str">
            <v>1/0</v>
          </cell>
          <cell r="M21">
            <v>0</v>
          </cell>
          <cell r="P21">
            <v>300</v>
          </cell>
          <cell r="Q21">
            <v>0</v>
          </cell>
          <cell r="R21">
            <v>874</v>
          </cell>
          <cell r="S21">
            <v>0</v>
          </cell>
          <cell r="T21">
            <v>800</v>
          </cell>
          <cell r="U21">
            <v>0</v>
          </cell>
          <cell r="V21" t="str">
            <v>3x3#120 (3#95)</v>
          </cell>
          <cell r="W21">
            <v>0</v>
          </cell>
          <cell r="X21" t="str">
            <v>3x80 (3")</v>
          </cell>
          <cell r="Y21">
            <v>0</v>
          </cell>
          <cell r="Z21">
            <v>50</v>
          </cell>
          <cell r="AA21">
            <v>0</v>
          </cell>
          <cell r="AB21" t="str">
            <v>1/0</v>
          </cell>
        </row>
        <row r="22">
          <cell r="A22">
            <v>225</v>
          </cell>
          <cell r="B22">
            <v>0</v>
          </cell>
          <cell r="C22">
            <v>376</v>
          </cell>
          <cell r="D22">
            <v>0</v>
          </cell>
          <cell r="E22">
            <v>350</v>
          </cell>
          <cell r="F22">
            <v>0</v>
          </cell>
          <cell r="G22" t="str">
            <v>3#185 (95)</v>
          </cell>
          <cell r="H22">
            <v>0</v>
          </cell>
          <cell r="I22" t="str">
            <v>80 (3")</v>
          </cell>
          <cell r="J22">
            <v>0</v>
          </cell>
          <cell r="K22">
            <v>50</v>
          </cell>
          <cell r="L22" t="str">
            <v>1/0</v>
          </cell>
          <cell r="M22">
            <v>0</v>
          </cell>
        </row>
        <row r="23">
          <cell r="A23">
            <v>300</v>
          </cell>
          <cell r="B23">
            <v>0</v>
          </cell>
          <cell r="C23">
            <v>501</v>
          </cell>
          <cell r="D23">
            <v>0</v>
          </cell>
          <cell r="E23">
            <v>500</v>
          </cell>
          <cell r="F23">
            <v>0</v>
          </cell>
          <cell r="G23" t="str">
            <v>2x3#95 (95)</v>
          </cell>
          <cell r="H23">
            <v>0</v>
          </cell>
          <cell r="I23" t="str">
            <v>100 (4")</v>
          </cell>
          <cell r="J23">
            <v>0</v>
          </cell>
          <cell r="K23">
            <v>50</v>
          </cell>
          <cell r="L23" t="str">
            <v>1/0</v>
          </cell>
          <cell r="M2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7" Type="http://schemas.openxmlformats.org/officeDocument/2006/relationships/image" Target="../media/image12.w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3.bin"/><Relationship Id="rId5" Type="http://schemas.openxmlformats.org/officeDocument/2006/relationships/image" Target="../media/image11.wmf"/><Relationship Id="rId4" Type="http://schemas.openxmlformats.org/officeDocument/2006/relationships/oleObject" Target="../embeddings/oleObject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>
    <tabColor rgb="FF002060"/>
    <pageSetUpPr fitToPage="1"/>
  </sheetPr>
  <dimension ref="A1:XFC167"/>
  <sheetViews>
    <sheetView tabSelected="1" topLeftCell="A64" zoomScaleSheetLayoutView="100" workbookViewId="0">
      <selection activeCell="I103" sqref="I103"/>
    </sheetView>
  </sheetViews>
  <sheetFormatPr defaultColWidth="0" defaultRowHeight="15" zeroHeight="1"/>
  <cols>
    <col min="1" max="1" width="0.28515625" customWidth="1"/>
    <col min="2" max="2" width="6.140625" style="293" customWidth="1"/>
    <col min="3" max="3" width="20.140625" customWidth="1"/>
    <col min="4" max="4" width="6" customWidth="1"/>
    <col min="5" max="5" width="9" customWidth="1"/>
    <col min="6" max="6" width="9.140625" customWidth="1"/>
    <col min="7" max="7" width="5.140625" customWidth="1"/>
    <col min="8" max="8" width="9.5703125" customWidth="1"/>
    <col min="9" max="9" width="5.42578125" customWidth="1"/>
    <col min="10" max="10" width="9.5703125" customWidth="1"/>
    <col min="11" max="11" width="10.5703125" style="294" customWidth="1"/>
    <col min="12" max="12" width="2.42578125" hidden="1" customWidth="1"/>
    <col min="13" max="16383" width="9.140625" hidden="1"/>
    <col min="16384" max="16384" width="0.140625" customWidth="1"/>
  </cols>
  <sheetData>
    <row r="1" spans="1:12" ht="1.5" customHeight="1" thickBot="1">
      <c r="A1" s="292"/>
      <c r="B1" s="305"/>
      <c r="C1" s="306"/>
      <c r="D1" s="306"/>
      <c r="E1" s="306"/>
      <c r="F1" s="306"/>
      <c r="G1" s="306"/>
      <c r="H1" s="306"/>
      <c r="I1" s="306"/>
      <c r="J1" s="306"/>
      <c r="K1" s="307"/>
    </row>
    <row r="2" spans="1:12">
      <c r="A2" s="293"/>
      <c r="B2" s="342" t="s">
        <v>0</v>
      </c>
      <c r="C2" s="343"/>
      <c r="D2" s="343"/>
      <c r="E2" s="343"/>
      <c r="F2" s="343"/>
      <c r="G2" s="343"/>
      <c r="H2" s="343"/>
      <c r="I2" s="343"/>
      <c r="J2" s="343"/>
      <c r="K2" s="344"/>
    </row>
    <row r="3" spans="1:12" ht="20.100000000000001" customHeight="1">
      <c r="A3" s="293"/>
      <c r="B3" s="354" t="s">
        <v>1</v>
      </c>
      <c r="C3" s="355"/>
      <c r="D3" s="355"/>
      <c r="E3" s="355"/>
      <c r="F3" s="355"/>
      <c r="G3" s="355"/>
      <c r="H3" s="355"/>
      <c r="I3" s="355"/>
      <c r="J3" s="355"/>
      <c r="K3" s="356"/>
    </row>
    <row r="4" spans="1:12" s="303" customFormat="1" ht="38.25">
      <c r="A4" s="301"/>
      <c r="B4" s="308" t="s">
        <v>2</v>
      </c>
      <c r="C4" s="304" t="s">
        <v>3</v>
      </c>
      <c r="D4" s="304" t="s">
        <v>4</v>
      </c>
      <c r="E4" s="304" t="s">
        <v>5</v>
      </c>
      <c r="F4" s="304" t="s">
        <v>6</v>
      </c>
      <c r="G4" s="304" t="s">
        <v>7</v>
      </c>
      <c r="H4" s="304" t="s">
        <v>8</v>
      </c>
      <c r="I4" s="304" t="s">
        <v>9</v>
      </c>
      <c r="J4" s="304" t="s">
        <v>10</v>
      </c>
      <c r="K4" s="309" t="s">
        <v>11</v>
      </c>
      <c r="L4" s="302"/>
    </row>
    <row r="5" spans="1:12">
      <c r="A5" s="293"/>
      <c r="B5" s="310">
        <v>1</v>
      </c>
      <c r="C5" s="7"/>
      <c r="D5" s="7"/>
      <c r="E5" s="7"/>
      <c r="F5" s="297" t="str">
        <f>IF(E5="","",D5*E5)</f>
        <v/>
      </c>
      <c r="G5" s="7"/>
      <c r="H5" s="299" t="str">
        <f>IF(G5="","",F5/G5)</f>
        <v/>
      </c>
      <c r="I5" s="7"/>
      <c r="J5" s="299" t="str">
        <f>IF(I5="","",F5*I5)</f>
        <v/>
      </c>
      <c r="K5" s="311" t="str">
        <f>IF(I5="","",H5*I5)</f>
        <v/>
      </c>
      <c r="L5" s="9"/>
    </row>
    <row r="6" spans="1:12">
      <c r="A6" s="293"/>
      <c r="B6" s="310">
        <v>2</v>
      </c>
      <c r="C6" s="7"/>
      <c r="D6" s="7"/>
      <c r="E6" s="7"/>
      <c r="F6" s="297" t="str">
        <f t="shared" ref="F6:F53" si="0">IF(E6="","",D6*E6)</f>
        <v/>
      </c>
      <c r="G6" s="7"/>
      <c r="H6" s="299" t="str">
        <f t="shared" ref="H6:H53" si="1">IF(G6="","",F6/G6)</f>
        <v/>
      </c>
      <c r="I6" s="7"/>
      <c r="J6" s="299" t="str">
        <f t="shared" ref="J6:J53" si="2">IF(I6="","",F6*I6)</f>
        <v/>
      </c>
      <c r="K6" s="311" t="str">
        <f t="shared" ref="K6:K31" si="3">IF(I6="","",H6*I6)</f>
        <v/>
      </c>
      <c r="L6" s="9"/>
    </row>
    <row r="7" spans="1:12">
      <c r="A7" s="293"/>
      <c r="B7" s="310">
        <v>3</v>
      </c>
      <c r="C7" s="7"/>
      <c r="D7" s="7"/>
      <c r="E7" s="7"/>
      <c r="F7" s="297" t="str">
        <f t="shared" si="0"/>
        <v/>
      </c>
      <c r="G7" s="7"/>
      <c r="H7" s="299" t="str">
        <f t="shared" si="1"/>
        <v/>
      </c>
      <c r="I7" s="7"/>
      <c r="J7" s="299" t="str">
        <f t="shared" si="2"/>
        <v/>
      </c>
      <c r="K7" s="311" t="str">
        <f t="shared" si="3"/>
        <v/>
      </c>
      <c r="L7" s="9"/>
    </row>
    <row r="8" spans="1:12">
      <c r="A8" s="293"/>
      <c r="B8" s="310">
        <v>4</v>
      </c>
      <c r="C8" s="7"/>
      <c r="D8" s="7"/>
      <c r="E8" s="7"/>
      <c r="F8" s="297" t="str">
        <f t="shared" si="0"/>
        <v/>
      </c>
      <c r="G8" s="7"/>
      <c r="H8" s="299" t="str">
        <f t="shared" si="1"/>
        <v/>
      </c>
      <c r="I8" s="7"/>
      <c r="J8" s="299" t="str">
        <f t="shared" si="2"/>
        <v/>
      </c>
      <c r="K8" s="311" t="str">
        <f t="shared" si="3"/>
        <v/>
      </c>
      <c r="L8" s="9"/>
    </row>
    <row r="9" spans="1:12">
      <c r="A9" s="293"/>
      <c r="B9" s="310">
        <v>5</v>
      </c>
      <c r="C9" s="7"/>
      <c r="D9" s="7"/>
      <c r="E9" s="7"/>
      <c r="F9" s="297" t="str">
        <f t="shared" si="0"/>
        <v/>
      </c>
      <c r="G9" s="7"/>
      <c r="H9" s="299" t="str">
        <f t="shared" si="1"/>
        <v/>
      </c>
      <c r="I9" s="7"/>
      <c r="J9" s="299" t="str">
        <f t="shared" si="2"/>
        <v/>
      </c>
      <c r="K9" s="311" t="str">
        <f t="shared" si="3"/>
        <v/>
      </c>
      <c r="L9" s="9"/>
    </row>
    <row r="10" spans="1:12">
      <c r="A10" s="293"/>
      <c r="B10" s="310">
        <v>6</v>
      </c>
      <c r="C10" s="7"/>
      <c r="D10" s="7"/>
      <c r="E10" s="7"/>
      <c r="F10" s="297" t="str">
        <f t="shared" si="0"/>
        <v/>
      </c>
      <c r="G10" s="7"/>
      <c r="H10" s="299" t="str">
        <f t="shared" si="1"/>
        <v/>
      </c>
      <c r="I10" s="7"/>
      <c r="J10" s="299" t="str">
        <f t="shared" si="2"/>
        <v/>
      </c>
      <c r="K10" s="311" t="str">
        <f t="shared" si="3"/>
        <v/>
      </c>
      <c r="L10" s="9"/>
    </row>
    <row r="11" spans="1:12">
      <c r="A11" s="293"/>
      <c r="B11" s="310">
        <v>7</v>
      </c>
      <c r="C11" s="7"/>
      <c r="D11" s="7"/>
      <c r="E11" s="7"/>
      <c r="F11" s="297" t="str">
        <f t="shared" si="0"/>
        <v/>
      </c>
      <c r="G11" s="7"/>
      <c r="H11" s="299" t="str">
        <f t="shared" si="1"/>
        <v/>
      </c>
      <c r="I11" s="7"/>
      <c r="J11" s="299" t="str">
        <f t="shared" si="2"/>
        <v/>
      </c>
      <c r="K11" s="311" t="str">
        <f t="shared" si="3"/>
        <v/>
      </c>
      <c r="L11" s="9"/>
    </row>
    <row r="12" spans="1:12">
      <c r="A12" s="293"/>
      <c r="B12" s="310">
        <v>8</v>
      </c>
      <c r="C12" s="7"/>
      <c r="D12" s="7"/>
      <c r="E12" s="7"/>
      <c r="F12" s="297" t="str">
        <f t="shared" si="0"/>
        <v/>
      </c>
      <c r="G12" s="7"/>
      <c r="H12" s="299" t="str">
        <f t="shared" si="1"/>
        <v/>
      </c>
      <c r="I12" s="7"/>
      <c r="J12" s="299" t="str">
        <f t="shared" si="2"/>
        <v/>
      </c>
      <c r="K12" s="311" t="str">
        <f t="shared" si="3"/>
        <v/>
      </c>
      <c r="L12" s="9"/>
    </row>
    <row r="13" spans="1:12">
      <c r="A13" s="293"/>
      <c r="B13" s="310">
        <v>9</v>
      </c>
      <c r="C13" s="7"/>
      <c r="D13" s="7"/>
      <c r="E13" s="7"/>
      <c r="F13" s="297" t="str">
        <f t="shared" si="0"/>
        <v/>
      </c>
      <c r="G13" s="7"/>
      <c r="H13" s="299" t="str">
        <f t="shared" si="1"/>
        <v/>
      </c>
      <c r="I13" s="7"/>
      <c r="J13" s="299" t="str">
        <f t="shared" si="2"/>
        <v/>
      </c>
      <c r="K13" s="311" t="str">
        <f t="shared" si="3"/>
        <v/>
      </c>
      <c r="L13" s="9"/>
    </row>
    <row r="14" spans="1:12">
      <c r="A14" s="293"/>
      <c r="B14" s="310">
        <v>10</v>
      </c>
      <c r="C14" s="7"/>
      <c r="D14" s="7"/>
      <c r="E14" s="7"/>
      <c r="F14" s="297" t="str">
        <f t="shared" si="0"/>
        <v/>
      </c>
      <c r="G14" s="7"/>
      <c r="H14" s="299" t="str">
        <f t="shared" si="1"/>
        <v/>
      </c>
      <c r="I14" s="7"/>
      <c r="J14" s="299" t="str">
        <f t="shared" si="2"/>
        <v/>
      </c>
      <c r="K14" s="311" t="str">
        <f t="shared" si="3"/>
        <v/>
      </c>
      <c r="L14" s="9"/>
    </row>
    <row r="15" spans="1:12">
      <c r="A15" s="293"/>
      <c r="B15" s="310">
        <v>11</v>
      </c>
      <c r="C15" s="7"/>
      <c r="D15" s="7"/>
      <c r="E15" s="7"/>
      <c r="F15" s="297" t="str">
        <f t="shared" si="0"/>
        <v/>
      </c>
      <c r="G15" s="7"/>
      <c r="H15" s="299" t="str">
        <f t="shared" si="1"/>
        <v/>
      </c>
      <c r="I15" s="7"/>
      <c r="J15" s="299" t="str">
        <f t="shared" si="2"/>
        <v/>
      </c>
      <c r="K15" s="311" t="str">
        <f t="shared" si="3"/>
        <v/>
      </c>
      <c r="L15" s="9"/>
    </row>
    <row r="16" spans="1:12">
      <c r="A16" s="293"/>
      <c r="B16" s="310">
        <v>12</v>
      </c>
      <c r="C16" s="7"/>
      <c r="D16" s="7"/>
      <c r="E16" s="7"/>
      <c r="F16" s="297" t="str">
        <f t="shared" si="0"/>
        <v/>
      </c>
      <c r="G16" s="7"/>
      <c r="H16" s="299" t="str">
        <f t="shared" si="1"/>
        <v/>
      </c>
      <c r="I16" s="7"/>
      <c r="J16" s="299" t="str">
        <f t="shared" si="2"/>
        <v/>
      </c>
      <c r="K16" s="311" t="str">
        <f t="shared" si="3"/>
        <v/>
      </c>
      <c r="L16" s="9"/>
    </row>
    <row r="17" spans="1:12">
      <c r="A17" s="293"/>
      <c r="B17" s="310">
        <v>13</v>
      </c>
      <c r="C17" s="7"/>
      <c r="D17" s="7"/>
      <c r="E17" s="7"/>
      <c r="F17" s="297" t="str">
        <f t="shared" si="0"/>
        <v/>
      </c>
      <c r="G17" s="7"/>
      <c r="H17" s="299" t="str">
        <f t="shared" si="1"/>
        <v/>
      </c>
      <c r="I17" s="7"/>
      <c r="J17" s="299" t="str">
        <f t="shared" si="2"/>
        <v/>
      </c>
      <c r="K17" s="311" t="str">
        <f t="shared" si="3"/>
        <v/>
      </c>
      <c r="L17" s="9"/>
    </row>
    <row r="18" spans="1:12">
      <c r="A18" s="293"/>
      <c r="B18" s="310">
        <v>14</v>
      </c>
      <c r="C18" s="7"/>
      <c r="D18" s="7"/>
      <c r="E18" s="7"/>
      <c r="F18" s="297" t="str">
        <f t="shared" si="0"/>
        <v/>
      </c>
      <c r="G18" s="7"/>
      <c r="H18" s="299" t="str">
        <f t="shared" si="1"/>
        <v/>
      </c>
      <c r="I18" s="7"/>
      <c r="J18" s="299" t="str">
        <f t="shared" si="2"/>
        <v/>
      </c>
      <c r="K18" s="311" t="str">
        <f t="shared" si="3"/>
        <v/>
      </c>
      <c r="L18" s="9"/>
    </row>
    <row r="19" spans="1:12">
      <c r="A19" s="293"/>
      <c r="B19" s="310">
        <v>15</v>
      </c>
      <c r="C19" s="7"/>
      <c r="D19" s="7"/>
      <c r="E19" s="7"/>
      <c r="F19" s="297" t="str">
        <f t="shared" si="0"/>
        <v/>
      </c>
      <c r="G19" s="7"/>
      <c r="H19" s="299" t="str">
        <f t="shared" si="1"/>
        <v/>
      </c>
      <c r="I19" s="7"/>
      <c r="J19" s="299" t="str">
        <f t="shared" si="2"/>
        <v/>
      </c>
      <c r="K19" s="311" t="str">
        <f t="shared" si="3"/>
        <v/>
      </c>
      <c r="L19" s="9"/>
    </row>
    <row r="20" spans="1:12">
      <c r="A20" s="293"/>
      <c r="B20" s="310">
        <v>16</v>
      </c>
      <c r="C20" s="7"/>
      <c r="D20" s="7"/>
      <c r="E20" s="7"/>
      <c r="F20" s="297" t="str">
        <f t="shared" si="0"/>
        <v/>
      </c>
      <c r="G20" s="7"/>
      <c r="H20" s="299" t="str">
        <f t="shared" si="1"/>
        <v/>
      </c>
      <c r="I20" s="7"/>
      <c r="J20" s="299" t="str">
        <f t="shared" si="2"/>
        <v/>
      </c>
      <c r="K20" s="311" t="str">
        <f t="shared" si="3"/>
        <v/>
      </c>
      <c r="L20" s="9"/>
    </row>
    <row r="21" spans="1:12">
      <c r="A21" s="293"/>
      <c r="B21" s="310">
        <v>17</v>
      </c>
      <c r="C21" s="7"/>
      <c r="D21" s="7"/>
      <c r="E21" s="7"/>
      <c r="F21" s="297" t="str">
        <f t="shared" si="0"/>
        <v/>
      </c>
      <c r="G21" s="7"/>
      <c r="H21" s="299" t="str">
        <f t="shared" si="1"/>
        <v/>
      </c>
      <c r="I21" s="7"/>
      <c r="J21" s="299" t="str">
        <f t="shared" si="2"/>
        <v/>
      </c>
      <c r="K21" s="311" t="str">
        <f t="shared" si="3"/>
        <v/>
      </c>
      <c r="L21" s="9"/>
    </row>
    <row r="22" spans="1:12">
      <c r="A22" s="293"/>
      <c r="B22" s="310">
        <v>18</v>
      </c>
      <c r="C22" s="7"/>
      <c r="D22" s="7"/>
      <c r="E22" s="7"/>
      <c r="F22" s="297" t="str">
        <f t="shared" si="0"/>
        <v/>
      </c>
      <c r="G22" s="7"/>
      <c r="H22" s="299" t="str">
        <f t="shared" si="1"/>
        <v/>
      </c>
      <c r="I22" s="7"/>
      <c r="J22" s="299" t="str">
        <f t="shared" si="2"/>
        <v/>
      </c>
      <c r="K22" s="311" t="str">
        <f t="shared" si="3"/>
        <v/>
      </c>
      <c r="L22" s="9"/>
    </row>
    <row r="23" spans="1:12">
      <c r="A23" s="293"/>
      <c r="B23" s="310">
        <v>19</v>
      </c>
      <c r="C23" s="7"/>
      <c r="D23" s="7"/>
      <c r="E23" s="7"/>
      <c r="F23" s="297" t="str">
        <f t="shared" si="0"/>
        <v/>
      </c>
      <c r="G23" s="7"/>
      <c r="H23" s="299" t="str">
        <f t="shared" si="1"/>
        <v/>
      </c>
      <c r="I23" s="7"/>
      <c r="J23" s="299" t="str">
        <f t="shared" si="2"/>
        <v/>
      </c>
      <c r="K23" s="311" t="str">
        <f t="shared" si="3"/>
        <v/>
      </c>
      <c r="L23" s="9"/>
    </row>
    <row r="24" spans="1:12">
      <c r="A24" s="293"/>
      <c r="B24" s="310">
        <v>20</v>
      </c>
      <c r="C24" s="7"/>
      <c r="D24" s="7"/>
      <c r="E24" s="7"/>
      <c r="F24" s="297" t="str">
        <f t="shared" si="0"/>
        <v/>
      </c>
      <c r="G24" s="7"/>
      <c r="H24" s="299" t="str">
        <f t="shared" si="1"/>
        <v/>
      </c>
      <c r="I24" s="7"/>
      <c r="J24" s="299" t="str">
        <f t="shared" si="2"/>
        <v/>
      </c>
      <c r="K24" s="311" t="str">
        <f t="shared" si="3"/>
        <v/>
      </c>
      <c r="L24" s="9"/>
    </row>
    <row r="25" spans="1:12">
      <c r="A25" s="293"/>
      <c r="B25" s="310">
        <v>21</v>
      </c>
      <c r="C25" s="7"/>
      <c r="D25" s="7"/>
      <c r="E25" s="7"/>
      <c r="F25" s="297" t="str">
        <f t="shared" si="0"/>
        <v/>
      </c>
      <c r="G25" s="7"/>
      <c r="H25" s="299" t="str">
        <f t="shared" si="1"/>
        <v/>
      </c>
      <c r="I25" s="7"/>
      <c r="J25" s="299" t="str">
        <f t="shared" si="2"/>
        <v/>
      </c>
      <c r="K25" s="311" t="str">
        <f t="shared" si="3"/>
        <v/>
      </c>
      <c r="L25" s="9"/>
    </row>
    <row r="26" spans="1:12">
      <c r="A26" s="293"/>
      <c r="B26" s="310">
        <v>22</v>
      </c>
      <c r="C26" s="7"/>
      <c r="D26" s="7"/>
      <c r="E26" s="7"/>
      <c r="F26" s="297" t="str">
        <f t="shared" si="0"/>
        <v/>
      </c>
      <c r="G26" s="7"/>
      <c r="H26" s="299" t="str">
        <f t="shared" si="1"/>
        <v/>
      </c>
      <c r="I26" s="7"/>
      <c r="J26" s="299" t="str">
        <f t="shared" si="2"/>
        <v/>
      </c>
      <c r="K26" s="311" t="str">
        <f t="shared" si="3"/>
        <v/>
      </c>
      <c r="L26" s="9"/>
    </row>
    <row r="27" spans="1:12">
      <c r="A27" s="293"/>
      <c r="B27" s="310">
        <v>23</v>
      </c>
      <c r="C27" s="7"/>
      <c r="D27" s="7"/>
      <c r="E27" s="7"/>
      <c r="F27" s="297" t="str">
        <f t="shared" si="0"/>
        <v/>
      </c>
      <c r="G27" s="7"/>
      <c r="H27" s="299" t="str">
        <f t="shared" si="1"/>
        <v/>
      </c>
      <c r="I27" s="7"/>
      <c r="J27" s="299" t="str">
        <f t="shared" si="2"/>
        <v/>
      </c>
      <c r="K27" s="311" t="str">
        <f t="shared" si="3"/>
        <v/>
      </c>
      <c r="L27" s="9"/>
    </row>
    <row r="28" spans="1:12">
      <c r="A28" s="293"/>
      <c r="B28" s="310">
        <v>24</v>
      </c>
      <c r="C28" s="7"/>
      <c r="D28" s="7"/>
      <c r="E28" s="7"/>
      <c r="F28" s="297" t="str">
        <f t="shared" si="0"/>
        <v/>
      </c>
      <c r="G28" s="7"/>
      <c r="H28" s="299" t="str">
        <f t="shared" si="1"/>
        <v/>
      </c>
      <c r="I28" s="7"/>
      <c r="J28" s="299" t="str">
        <f t="shared" si="2"/>
        <v/>
      </c>
      <c r="K28" s="311" t="str">
        <f t="shared" si="3"/>
        <v/>
      </c>
      <c r="L28" s="9"/>
    </row>
    <row r="29" spans="1:12">
      <c r="A29" s="293"/>
      <c r="B29" s="310">
        <v>25</v>
      </c>
      <c r="C29" s="7"/>
      <c r="D29" s="7"/>
      <c r="E29" s="7"/>
      <c r="F29" s="297" t="str">
        <f t="shared" si="0"/>
        <v/>
      </c>
      <c r="G29" s="7"/>
      <c r="H29" s="299" t="str">
        <f t="shared" si="1"/>
        <v/>
      </c>
      <c r="I29" s="7"/>
      <c r="J29" s="299" t="str">
        <f t="shared" si="2"/>
        <v/>
      </c>
      <c r="K29" s="311" t="str">
        <f t="shared" si="3"/>
        <v/>
      </c>
      <c r="L29" s="9"/>
    </row>
    <row r="30" spans="1:12">
      <c r="A30" s="293"/>
      <c r="B30" s="310">
        <v>26</v>
      </c>
      <c r="C30" s="7"/>
      <c r="D30" s="7"/>
      <c r="E30" s="7"/>
      <c r="F30" s="297" t="str">
        <f t="shared" si="0"/>
        <v/>
      </c>
      <c r="G30" s="7"/>
      <c r="H30" s="299" t="str">
        <f t="shared" si="1"/>
        <v/>
      </c>
      <c r="I30" s="7"/>
      <c r="J30" s="299" t="str">
        <f t="shared" si="2"/>
        <v/>
      </c>
      <c r="K30" s="311" t="str">
        <f t="shared" si="3"/>
        <v/>
      </c>
      <c r="L30" s="9"/>
    </row>
    <row r="31" spans="1:12">
      <c r="A31" s="293"/>
      <c r="B31" s="310">
        <v>27</v>
      </c>
      <c r="C31" s="7"/>
      <c r="D31" s="7"/>
      <c r="E31" s="7"/>
      <c r="F31" s="297" t="str">
        <f t="shared" si="0"/>
        <v/>
      </c>
      <c r="G31" s="7"/>
      <c r="H31" s="299" t="str">
        <f t="shared" si="1"/>
        <v/>
      </c>
      <c r="I31" s="7"/>
      <c r="J31" s="299" t="str">
        <f t="shared" si="2"/>
        <v/>
      </c>
      <c r="K31" s="311" t="str">
        <f t="shared" si="3"/>
        <v/>
      </c>
      <c r="L31" s="9"/>
    </row>
    <row r="32" spans="1:12">
      <c r="A32" s="293"/>
      <c r="B32" s="310">
        <v>28</v>
      </c>
      <c r="C32" s="7"/>
      <c r="D32" s="7"/>
      <c r="E32" s="7"/>
      <c r="F32" s="297" t="str">
        <f t="shared" si="0"/>
        <v/>
      </c>
      <c r="G32" s="7"/>
      <c r="H32" s="299" t="str">
        <f t="shared" si="1"/>
        <v/>
      </c>
      <c r="I32" s="7"/>
      <c r="J32" s="299" t="str">
        <f t="shared" si="2"/>
        <v/>
      </c>
      <c r="K32" s="311" t="str">
        <f t="shared" ref="K32:K53" si="4">IF(I32="","",H32*I32)</f>
        <v/>
      </c>
      <c r="L32" s="9"/>
    </row>
    <row r="33" spans="1:12">
      <c r="A33" s="293"/>
      <c r="B33" s="310">
        <v>29</v>
      </c>
      <c r="C33" s="7"/>
      <c r="D33" s="7"/>
      <c r="E33" s="7"/>
      <c r="F33" s="297" t="str">
        <f t="shared" si="0"/>
        <v/>
      </c>
      <c r="G33" s="7"/>
      <c r="H33" s="299" t="str">
        <f t="shared" si="1"/>
        <v/>
      </c>
      <c r="I33" s="7"/>
      <c r="J33" s="299" t="str">
        <f t="shared" si="2"/>
        <v/>
      </c>
      <c r="K33" s="311" t="str">
        <f t="shared" si="4"/>
        <v/>
      </c>
      <c r="L33" s="9"/>
    </row>
    <row r="34" spans="1:12">
      <c r="A34" s="293"/>
      <c r="B34" s="310">
        <v>30</v>
      </c>
      <c r="C34" s="7"/>
      <c r="D34" s="7"/>
      <c r="E34" s="7"/>
      <c r="F34" s="297" t="str">
        <f t="shared" si="0"/>
        <v/>
      </c>
      <c r="G34" s="7"/>
      <c r="H34" s="299" t="str">
        <f t="shared" si="1"/>
        <v/>
      </c>
      <c r="I34" s="7"/>
      <c r="J34" s="299" t="str">
        <f t="shared" si="2"/>
        <v/>
      </c>
      <c r="K34" s="311" t="str">
        <f t="shared" si="4"/>
        <v/>
      </c>
      <c r="L34" s="9"/>
    </row>
    <row r="35" spans="1:12">
      <c r="A35" s="293"/>
      <c r="B35" s="310">
        <v>31</v>
      </c>
      <c r="C35" s="7"/>
      <c r="D35" s="7"/>
      <c r="E35" s="7"/>
      <c r="F35" s="297" t="str">
        <f t="shared" si="0"/>
        <v/>
      </c>
      <c r="G35" s="7"/>
      <c r="H35" s="299" t="str">
        <f t="shared" si="1"/>
        <v/>
      </c>
      <c r="I35" s="7"/>
      <c r="J35" s="299" t="str">
        <f t="shared" si="2"/>
        <v/>
      </c>
      <c r="K35" s="311" t="str">
        <f t="shared" si="4"/>
        <v/>
      </c>
      <c r="L35" s="9"/>
    </row>
    <row r="36" spans="1:12">
      <c r="A36" s="293"/>
      <c r="B36" s="310">
        <v>32</v>
      </c>
      <c r="C36" s="7"/>
      <c r="D36" s="7"/>
      <c r="E36" s="7"/>
      <c r="F36" s="297" t="str">
        <f t="shared" si="0"/>
        <v/>
      </c>
      <c r="G36" s="7"/>
      <c r="H36" s="299" t="str">
        <f t="shared" si="1"/>
        <v/>
      </c>
      <c r="I36" s="7"/>
      <c r="J36" s="299" t="str">
        <f t="shared" si="2"/>
        <v/>
      </c>
      <c r="K36" s="311" t="str">
        <f t="shared" si="4"/>
        <v/>
      </c>
      <c r="L36" s="9"/>
    </row>
    <row r="37" spans="1:12">
      <c r="A37" s="293"/>
      <c r="B37" s="310">
        <v>33</v>
      </c>
      <c r="C37" s="7"/>
      <c r="D37" s="7"/>
      <c r="E37" s="7"/>
      <c r="F37" s="297" t="str">
        <f t="shared" si="0"/>
        <v/>
      </c>
      <c r="G37" s="7"/>
      <c r="H37" s="299" t="str">
        <f t="shared" si="1"/>
        <v/>
      </c>
      <c r="I37" s="7"/>
      <c r="J37" s="299" t="str">
        <f t="shared" si="2"/>
        <v/>
      </c>
      <c r="K37" s="311" t="str">
        <f t="shared" si="4"/>
        <v/>
      </c>
      <c r="L37" s="9"/>
    </row>
    <row r="38" spans="1:12">
      <c r="A38" s="293"/>
      <c r="B38" s="310">
        <v>34</v>
      </c>
      <c r="C38" s="7"/>
      <c r="D38" s="7"/>
      <c r="E38" s="7"/>
      <c r="F38" s="297" t="str">
        <f t="shared" si="0"/>
        <v/>
      </c>
      <c r="G38" s="7"/>
      <c r="H38" s="299" t="str">
        <f t="shared" si="1"/>
        <v/>
      </c>
      <c r="I38" s="7"/>
      <c r="J38" s="299" t="str">
        <f t="shared" si="2"/>
        <v/>
      </c>
      <c r="K38" s="311" t="str">
        <f t="shared" si="4"/>
        <v/>
      </c>
      <c r="L38" s="9"/>
    </row>
    <row r="39" spans="1:12">
      <c r="A39" s="293"/>
      <c r="B39" s="310">
        <v>35</v>
      </c>
      <c r="C39" s="7"/>
      <c r="D39" s="7"/>
      <c r="E39" s="7"/>
      <c r="F39" s="297" t="str">
        <f t="shared" si="0"/>
        <v/>
      </c>
      <c r="G39" s="7"/>
      <c r="H39" s="299" t="str">
        <f t="shared" si="1"/>
        <v/>
      </c>
      <c r="I39" s="7"/>
      <c r="J39" s="299" t="str">
        <f t="shared" si="2"/>
        <v/>
      </c>
      <c r="K39" s="311" t="str">
        <f t="shared" si="4"/>
        <v/>
      </c>
      <c r="L39" s="9"/>
    </row>
    <row r="40" spans="1:12">
      <c r="A40" s="293"/>
      <c r="B40" s="310">
        <v>36</v>
      </c>
      <c r="C40" s="7"/>
      <c r="D40" s="7"/>
      <c r="E40" s="7"/>
      <c r="F40" s="297" t="str">
        <f t="shared" si="0"/>
        <v/>
      </c>
      <c r="G40" s="7"/>
      <c r="H40" s="299" t="str">
        <f t="shared" si="1"/>
        <v/>
      </c>
      <c r="I40" s="7"/>
      <c r="J40" s="299" t="str">
        <f t="shared" si="2"/>
        <v/>
      </c>
      <c r="K40" s="311" t="str">
        <f t="shared" si="4"/>
        <v/>
      </c>
      <c r="L40" s="9"/>
    </row>
    <row r="41" spans="1:12">
      <c r="A41" s="293"/>
      <c r="B41" s="310">
        <v>37</v>
      </c>
      <c r="C41" s="7"/>
      <c r="D41" s="7"/>
      <c r="E41" s="7"/>
      <c r="F41" s="297" t="str">
        <f t="shared" si="0"/>
        <v/>
      </c>
      <c r="G41" s="7"/>
      <c r="H41" s="299" t="str">
        <f t="shared" si="1"/>
        <v/>
      </c>
      <c r="I41" s="7"/>
      <c r="J41" s="299" t="str">
        <f t="shared" si="2"/>
        <v/>
      </c>
      <c r="K41" s="311" t="str">
        <f t="shared" si="4"/>
        <v/>
      </c>
      <c r="L41" s="9"/>
    </row>
    <row r="42" spans="1:12">
      <c r="A42" s="293"/>
      <c r="B42" s="310">
        <v>38</v>
      </c>
      <c r="C42" s="7"/>
      <c r="D42" s="7"/>
      <c r="E42" s="7"/>
      <c r="F42" s="297" t="str">
        <f t="shared" si="0"/>
        <v/>
      </c>
      <c r="G42" s="7"/>
      <c r="H42" s="299" t="str">
        <f t="shared" si="1"/>
        <v/>
      </c>
      <c r="I42" s="7"/>
      <c r="J42" s="299" t="str">
        <f t="shared" si="2"/>
        <v/>
      </c>
      <c r="K42" s="311" t="str">
        <f t="shared" si="4"/>
        <v/>
      </c>
      <c r="L42" s="9"/>
    </row>
    <row r="43" spans="1:12">
      <c r="A43" s="293"/>
      <c r="B43" s="310">
        <v>39</v>
      </c>
      <c r="C43" s="7"/>
      <c r="D43" s="7"/>
      <c r="E43" s="7"/>
      <c r="F43" s="297" t="str">
        <f t="shared" si="0"/>
        <v/>
      </c>
      <c r="G43" s="7"/>
      <c r="H43" s="299" t="str">
        <f t="shared" si="1"/>
        <v/>
      </c>
      <c r="I43" s="7"/>
      <c r="J43" s="299" t="str">
        <f t="shared" si="2"/>
        <v/>
      </c>
      <c r="K43" s="311" t="str">
        <f t="shared" si="4"/>
        <v/>
      </c>
      <c r="L43" s="9"/>
    </row>
    <row r="44" spans="1:12">
      <c r="A44" s="293"/>
      <c r="B44" s="310">
        <v>40</v>
      </c>
      <c r="C44" s="7"/>
      <c r="D44" s="7"/>
      <c r="E44" s="7"/>
      <c r="F44" s="297" t="str">
        <f t="shared" si="0"/>
        <v/>
      </c>
      <c r="G44" s="7"/>
      <c r="H44" s="299" t="str">
        <f t="shared" si="1"/>
        <v/>
      </c>
      <c r="I44" s="7"/>
      <c r="J44" s="299" t="str">
        <f t="shared" si="2"/>
        <v/>
      </c>
      <c r="K44" s="311" t="str">
        <f t="shared" si="4"/>
        <v/>
      </c>
      <c r="L44" s="9"/>
    </row>
    <row r="45" spans="1:12">
      <c r="A45" s="293"/>
      <c r="B45" s="310">
        <v>41</v>
      </c>
      <c r="C45" s="7"/>
      <c r="D45" s="7"/>
      <c r="E45" s="7"/>
      <c r="F45" s="297" t="str">
        <f t="shared" si="0"/>
        <v/>
      </c>
      <c r="G45" s="7"/>
      <c r="H45" s="299" t="str">
        <f t="shared" si="1"/>
        <v/>
      </c>
      <c r="I45" s="7"/>
      <c r="J45" s="299" t="str">
        <f t="shared" si="2"/>
        <v/>
      </c>
      <c r="K45" s="311" t="str">
        <f t="shared" si="4"/>
        <v/>
      </c>
      <c r="L45" s="9"/>
    </row>
    <row r="46" spans="1:12">
      <c r="A46" s="293"/>
      <c r="B46" s="310">
        <v>42</v>
      </c>
      <c r="C46" s="7"/>
      <c r="D46" s="7"/>
      <c r="E46" s="7"/>
      <c r="F46" s="297" t="str">
        <f t="shared" si="0"/>
        <v/>
      </c>
      <c r="G46" s="7"/>
      <c r="H46" s="299" t="str">
        <f t="shared" si="1"/>
        <v/>
      </c>
      <c r="I46" s="7"/>
      <c r="J46" s="299" t="str">
        <f t="shared" si="2"/>
        <v/>
      </c>
      <c r="K46" s="311" t="str">
        <f t="shared" si="4"/>
        <v/>
      </c>
      <c r="L46" s="9"/>
    </row>
    <row r="47" spans="1:12">
      <c r="A47" s="293"/>
      <c r="B47" s="310">
        <v>43</v>
      </c>
      <c r="C47" s="7"/>
      <c r="D47" s="7"/>
      <c r="E47" s="7"/>
      <c r="F47" s="297" t="str">
        <f t="shared" si="0"/>
        <v/>
      </c>
      <c r="G47" s="7"/>
      <c r="H47" s="299" t="str">
        <f t="shared" si="1"/>
        <v/>
      </c>
      <c r="I47" s="7"/>
      <c r="J47" s="299" t="str">
        <f t="shared" si="2"/>
        <v/>
      </c>
      <c r="K47" s="311" t="str">
        <f t="shared" si="4"/>
        <v/>
      </c>
      <c r="L47" s="9"/>
    </row>
    <row r="48" spans="1:12">
      <c r="A48" s="293"/>
      <c r="B48" s="310">
        <v>44</v>
      </c>
      <c r="C48" s="7"/>
      <c r="D48" s="7"/>
      <c r="E48" s="7"/>
      <c r="F48" s="297" t="str">
        <f t="shared" si="0"/>
        <v/>
      </c>
      <c r="G48" s="7"/>
      <c r="H48" s="299" t="str">
        <f t="shared" si="1"/>
        <v/>
      </c>
      <c r="I48" s="7"/>
      <c r="J48" s="299" t="str">
        <f t="shared" si="2"/>
        <v/>
      </c>
      <c r="K48" s="311" t="str">
        <f t="shared" si="4"/>
        <v/>
      </c>
      <c r="L48" s="9"/>
    </row>
    <row r="49" spans="1:12">
      <c r="A49" s="293"/>
      <c r="B49" s="310">
        <v>45</v>
      </c>
      <c r="C49" s="7"/>
      <c r="D49" s="7"/>
      <c r="E49" s="7"/>
      <c r="F49" s="297" t="str">
        <f t="shared" si="0"/>
        <v/>
      </c>
      <c r="G49" s="7"/>
      <c r="H49" s="299" t="str">
        <f t="shared" si="1"/>
        <v/>
      </c>
      <c r="I49" s="7"/>
      <c r="J49" s="299" t="str">
        <f t="shared" si="2"/>
        <v/>
      </c>
      <c r="K49" s="311" t="str">
        <f t="shared" si="4"/>
        <v/>
      </c>
      <c r="L49" s="9"/>
    </row>
    <row r="50" spans="1:12">
      <c r="A50" s="293"/>
      <c r="B50" s="310">
        <v>46</v>
      </c>
      <c r="C50" s="7"/>
      <c r="D50" s="7"/>
      <c r="E50" s="7"/>
      <c r="F50" s="297" t="str">
        <f t="shared" si="0"/>
        <v/>
      </c>
      <c r="G50" s="7"/>
      <c r="H50" s="299" t="str">
        <f t="shared" si="1"/>
        <v/>
      </c>
      <c r="I50" s="7"/>
      <c r="J50" s="299" t="str">
        <f t="shared" si="2"/>
        <v/>
      </c>
      <c r="K50" s="311" t="str">
        <f t="shared" si="4"/>
        <v/>
      </c>
      <c r="L50" s="9"/>
    </row>
    <row r="51" spans="1:12">
      <c r="A51" s="293"/>
      <c r="B51" s="310">
        <v>47</v>
      </c>
      <c r="C51" s="7"/>
      <c r="D51" s="7"/>
      <c r="E51" s="7"/>
      <c r="F51" s="297" t="str">
        <f t="shared" si="0"/>
        <v/>
      </c>
      <c r="G51" s="7"/>
      <c r="H51" s="299" t="str">
        <f t="shared" si="1"/>
        <v/>
      </c>
      <c r="I51" s="7"/>
      <c r="J51" s="299" t="str">
        <f t="shared" si="2"/>
        <v/>
      </c>
      <c r="K51" s="311" t="str">
        <f t="shared" si="4"/>
        <v/>
      </c>
      <c r="L51" s="9"/>
    </row>
    <row r="52" spans="1:12">
      <c r="A52" s="293"/>
      <c r="B52" s="310">
        <v>48</v>
      </c>
      <c r="C52" s="7"/>
      <c r="D52" s="7"/>
      <c r="E52" s="7"/>
      <c r="F52" s="297" t="str">
        <f t="shared" si="0"/>
        <v/>
      </c>
      <c r="G52" s="7"/>
      <c r="H52" s="299" t="str">
        <f t="shared" si="1"/>
        <v/>
      </c>
      <c r="I52" s="7"/>
      <c r="J52" s="299" t="str">
        <f t="shared" si="2"/>
        <v/>
      </c>
      <c r="K52" s="311" t="str">
        <f t="shared" si="4"/>
        <v/>
      </c>
      <c r="L52" s="9"/>
    </row>
    <row r="53" spans="1:12">
      <c r="A53" s="293"/>
      <c r="B53" s="310">
        <v>49</v>
      </c>
      <c r="C53" s="7"/>
      <c r="D53" s="7"/>
      <c r="E53" s="7"/>
      <c r="F53" s="297" t="str">
        <f t="shared" si="0"/>
        <v/>
      </c>
      <c r="G53" s="7"/>
      <c r="H53" s="299" t="str">
        <f t="shared" si="1"/>
        <v/>
      </c>
      <c r="I53" s="7"/>
      <c r="J53" s="299" t="str">
        <f t="shared" si="2"/>
        <v/>
      </c>
      <c r="K53" s="311" t="str">
        <f t="shared" si="4"/>
        <v/>
      </c>
      <c r="L53" s="9"/>
    </row>
    <row r="54" spans="1:12">
      <c r="A54" s="293"/>
      <c r="B54" s="310">
        <v>50</v>
      </c>
      <c r="C54" s="7"/>
      <c r="D54" s="7"/>
      <c r="E54" s="7"/>
      <c r="F54" s="297"/>
      <c r="G54" s="7"/>
      <c r="H54" s="299"/>
      <c r="I54" s="7"/>
      <c r="J54" s="299"/>
      <c r="K54" s="311"/>
      <c r="L54" s="337"/>
    </row>
    <row r="55" spans="1:12">
      <c r="A55" s="293"/>
      <c r="B55" s="310">
        <v>51</v>
      </c>
      <c r="C55" s="7"/>
      <c r="D55" s="7"/>
      <c r="E55" s="7"/>
      <c r="F55" s="297" t="str">
        <f>IF(E55="","",D55*E55)</f>
        <v/>
      </c>
      <c r="G55" s="7"/>
      <c r="H55" s="299" t="str">
        <f>IF(G55="","",F55/G55)</f>
        <v/>
      </c>
      <c r="I55" s="7"/>
      <c r="J55" s="299" t="str">
        <f>IF(I55="","",F55*I55)</f>
        <v/>
      </c>
      <c r="K55" s="311" t="str">
        <f>IF(I55="","",H55*I55)</f>
        <v/>
      </c>
      <c r="L55" s="338"/>
    </row>
    <row r="56" spans="1:12">
      <c r="A56" s="293"/>
      <c r="B56" s="310">
        <v>52</v>
      </c>
      <c r="C56" s="7"/>
      <c r="D56" s="7"/>
      <c r="E56" s="7"/>
      <c r="F56" s="297" t="str">
        <f t="shared" ref="F56:F104" si="5">IF(E56="","",D56*E56)</f>
        <v/>
      </c>
      <c r="G56" s="7"/>
      <c r="H56" s="299" t="str">
        <f t="shared" ref="H56:H104" si="6">IF(G56="","",F56/G56)</f>
        <v/>
      </c>
      <c r="I56" s="7"/>
      <c r="J56" s="299" t="str">
        <f t="shared" ref="J56:J104" si="7">IF(I56="","",F56*I56)</f>
        <v/>
      </c>
      <c r="K56" s="311" t="str">
        <f t="shared" ref="K56:K104" si="8">IF(I56="","",H56*I56)</f>
        <v/>
      </c>
      <c r="L56" s="338"/>
    </row>
    <row r="57" spans="1:12">
      <c r="A57" s="293"/>
      <c r="B57" s="310">
        <v>53</v>
      </c>
      <c r="C57" s="7"/>
      <c r="D57" s="7"/>
      <c r="E57" s="7"/>
      <c r="F57" s="297" t="str">
        <f t="shared" si="5"/>
        <v/>
      </c>
      <c r="G57" s="7"/>
      <c r="H57" s="299" t="str">
        <f t="shared" si="6"/>
        <v/>
      </c>
      <c r="I57" s="7"/>
      <c r="J57" s="299" t="str">
        <f t="shared" si="7"/>
        <v/>
      </c>
      <c r="K57" s="311" t="str">
        <f t="shared" si="8"/>
        <v/>
      </c>
      <c r="L57" s="338"/>
    </row>
    <row r="58" spans="1:12">
      <c r="A58" s="293"/>
      <c r="B58" s="310">
        <v>54</v>
      </c>
      <c r="C58" s="7"/>
      <c r="D58" s="7"/>
      <c r="E58" s="7"/>
      <c r="F58" s="297" t="str">
        <f t="shared" si="5"/>
        <v/>
      </c>
      <c r="G58" s="7"/>
      <c r="H58" s="299" t="str">
        <f t="shared" si="6"/>
        <v/>
      </c>
      <c r="I58" s="7"/>
      <c r="J58" s="299" t="str">
        <f t="shared" si="7"/>
        <v/>
      </c>
      <c r="K58" s="311" t="str">
        <f t="shared" si="8"/>
        <v/>
      </c>
      <c r="L58" s="338"/>
    </row>
    <row r="59" spans="1:12">
      <c r="A59" s="293"/>
      <c r="B59" s="310">
        <v>55</v>
      </c>
      <c r="C59" s="7"/>
      <c r="D59" s="7"/>
      <c r="E59" s="7"/>
      <c r="F59" s="297" t="str">
        <f t="shared" si="5"/>
        <v/>
      </c>
      <c r="G59" s="7"/>
      <c r="H59" s="299" t="str">
        <f t="shared" si="6"/>
        <v/>
      </c>
      <c r="I59" s="7"/>
      <c r="J59" s="299" t="str">
        <f t="shared" si="7"/>
        <v/>
      </c>
      <c r="K59" s="311" t="str">
        <f t="shared" si="8"/>
        <v/>
      </c>
      <c r="L59" s="338"/>
    </row>
    <row r="60" spans="1:12">
      <c r="A60" s="293"/>
      <c r="B60" s="310">
        <v>56</v>
      </c>
      <c r="C60" s="7"/>
      <c r="D60" s="7"/>
      <c r="E60" s="7"/>
      <c r="F60" s="297" t="str">
        <f t="shared" si="5"/>
        <v/>
      </c>
      <c r="G60" s="7"/>
      <c r="H60" s="299" t="str">
        <f t="shared" si="6"/>
        <v/>
      </c>
      <c r="I60" s="7"/>
      <c r="J60" s="299" t="str">
        <f t="shared" si="7"/>
        <v/>
      </c>
      <c r="K60" s="311" t="str">
        <f t="shared" si="8"/>
        <v/>
      </c>
      <c r="L60" s="338"/>
    </row>
    <row r="61" spans="1:12">
      <c r="A61" s="293"/>
      <c r="B61" s="310">
        <v>57</v>
      </c>
      <c r="C61" s="7"/>
      <c r="D61" s="7"/>
      <c r="E61" s="7"/>
      <c r="F61" s="297" t="str">
        <f t="shared" si="5"/>
        <v/>
      </c>
      <c r="G61" s="7"/>
      <c r="H61" s="299" t="str">
        <f t="shared" si="6"/>
        <v/>
      </c>
      <c r="I61" s="7"/>
      <c r="J61" s="299" t="str">
        <f t="shared" si="7"/>
        <v/>
      </c>
      <c r="K61" s="311" t="str">
        <f t="shared" si="8"/>
        <v/>
      </c>
      <c r="L61" s="338"/>
    </row>
    <row r="62" spans="1:12">
      <c r="A62" s="293"/>
      <c r="B62" s="310">
        <v>58</v>
      </c>
      <c r="C62" s="7"/>
      <c r="D62" s="7"/>
      <c r="E62" s="7"/>
      <c r="F62" s="297" t="str">
        <f t="shared" si="5"/>
        <v/>
      </c>
      <c r="G62" s="7"/>
      <c r="H62" s="299" t="str">
        <f t="shared" si="6"/>
        <v/>
      </c>
      <c r="I62" s="7"/>
      <c r="J62" s="299" t="str">
        <f t="shared" si="7"/>
        <v/>
      </c>
      <c r="K62" s="311" t="str">
        <f t="shared" si="8"/>
        <v/>
      </c>
      <c r="L62" s="338"/>
    </row>
    <row r="63" spans="1:12">
      <c r="A63" s="293"/>
      <c r="B63" s="310">
        <v>59</v>
      </c>
      <c r="C63" s="7"/>
      <c r="D63" s="7"/>
      <c r="E63" s="7"/>
      <c r="F63" s="297" t="str">
        <f t="shared" si="5"/>
        <v/>
      </c>
      <c r="G63" s="7"/>
      <c r="H63" s="299" t="str">
        <f t="shared" si="6"/>
        <v/>
      </c>
      <c r="I63" s="7"/>
      <c r="J63" s="299" t="str">
        <f t="shared" si="7"/>
        <v/>
      </c>
      <c r="K63" s="311" t="str">
        <f t="shared" si="8"/>
        <v/>
      </c>
      <c r="L63" s="338"/>
    </row>
    <row r="64" spans="1:12">
      <c r="A64" s="293"/>
      <c r="B64" s="310">
        <v>60</v>
      </c>
      <c r="C64" s="7"/>
      <c r="D64" s="7"/>
      <c r="E64" s="7"/>
      <c r="F64" s="297" t="str">
        <f t="shared" si="5"/>
        <v/>
      </c>
      <c r="G64" s="7"/>
      <c r="H64" s="299" t="str">
        <f t="shared" si="6"/>
        <v/>
      </c>
      <c r="I64" s="7"/>
      <c r="J64" s="299" t="str">
        <f t="shared" si="7"/>
        <v/>
      </c>
      <c r="K64" s="311" t="str">
        <f t="shared" si="8"/>
        <v/>
      </c>
      <c r="L64" s="338"/>
    </row>
    <row r="65" spans="1:12">
      <c r="A65" s="293"/>
      <c r="B65" s="310">
        <v>61</v>
      </c>
      <c r="C65" s="7"/>
      <c r="D65" s="7"/>
      <c r="E65" s="7"/>
      <c r="F65" s="297" t="str">
        <f t="shared" si="5"/>
        <v/>
      </c>
      <c r="G65" s="7"/>
      <c r="H65" s="299" t="str">
        <f t="shared" si="6"/>
        <v/>
      </c>
      <c r="I65" s="7"/>
      <c r="J65" s="299" t="str">
        <f t="shared" si="7"/>
        <v/>
      </c>
      <c r="K65" s="311" t="str">
        <f t="shared" si="8"/>
        <v/>
      </c>
      <c r="L65" s="338"/>
    </row>
    <row r="66" spans="1:12">
      <c r="A66" s="293"/>
      <c r="B66" s="310">
        <v>62</v>
      </c>
      <c r="C66" s="7"/>
      <c r="D66" s="7"/>
      <c r="E66" s="7"/>
      <c r="F66" s="297" t="str">
        <f t="shared" si="5"/>
        <v/>
      </c>
      <c r="G66" s="7"/>
      <c r="H66" s="299" t="str">
        <f t="shared" si="6"/>
        <v/>
      </c>
      <c r="I66" s="7"/>
      <c r="J66" s="299" t="str">
        <f t="shared" si="7"/>
        <v/>
      </c>
      <c r="K66" s="311" t="str">
        <f t="shared" si="8"/>
        <v/>
      </c>
      <c r="L66" s="338"/>
    </row>
    <row r="67" spans="1:12">
      <c r="A67" s="293"/>
      <c r="B67" s="310">
        <v>63</v>
      </c>
      <c r="C67" s="7"/>
      <c r="D67" s="7"/>
      <c r="E67" s="7"/>
      <c r="F67" s="297" t="str">
        <f t="shared" si="5"/>
        <v/>
      </c>
      <c r="G67" s="7"/>
      <c r="H67" s="299" t="str">
        <f t="shared" si="6"/>
        <v/>
      </c>
      <c r="I67" s="7"/>
      <c r="J67" s="299" t="str">
        <f t="shared" si="7"/>
        <v/>
      </c>
      <c r="K67" s="311" t="str">
        <f t="shared" si="8"/>
        <v/>
      </c>
      <c r="L67" s="338"/>
    </row>
    <row r="68" spans="1:12">
      <c r="A68" s="293"/>
      <c r="B68" s="310">
        <v>64</v>
      </c>
      <c r="C68" s="7"/>
      <c r="D68" s="7"/>
      <c r="E68" s="7"/>
      <c r="F68" s="297" t="str">
        <f t="shared" si="5"/>
        <v/>
      </c>
      <c r="G68" s="7"/>
      <c r="H68" s="299" t="str">
        <f t="shared" si="6"/>
        <v/>
      </c>
      <c r="I68" s="7"/>
      <c r="J68" s="299" t="str">
        <f t="shared" si="7"/>
        <v/>
      </c>
      <c r="K68" s="311" t="str">
        <f t="shared" si="8"/>
        <v/>
      </c>
      <c r="L68" s="338"/>
    </row>
    <row r="69" spans="1:12">
      <c r="A69" s="293"/>
      <c r="B69" s="310">
        <v>65</v>
      </c>
      <c r="C69" s="7"/>
      <c r="D69" s="7"/>
      <c r="E69" s="7"/>
      <c r="F69" s="297" t="str">
        <f t="shared" si="5"/>
        <v/>
      </c>
      <c r="G69" s="7"/>
      <c r="H69" s="299" t="str">
        <f t="shared" si="6"/>
        <v/>
      </c>
      <c r="I69" s="7"/>
      <c r="J69" s="299" t="str">
        <f t="shared" si="7"/>
        <v/>
      </c>
      <c r="K69" s="311" t="str">
        <f t="shared" si="8"/>
        <v/>
      </c>
      <c r="L69" s="338"/>
    </row>
    <row r="70" spans="1:12">
      <c r="A70" s="293"/>
      <c r="B70" s="310">
        <v>66</v>
      </c>
      <c r="C70" s="7"/>
      <c r="D70" s="7"/>
      <c r="E70" s="7"/>
      <c r="F70" s="297" t="str">
        <f t="shared" si="5"/>
        <v/>
      </c>
      <c r="G70" s="7"/>
      <c r="H70" s="299" t="str">
        <f t="shared" si="6"/>
        <v/>
      </c>
      <c r="I70" s="7"/>
      <c r="J70" s="299" t="str">
        <f t="shared" si="7"/>
        <v/>
      </c>
      <c r="K70" s="311" t="str">
        <f t="shared" si="8"/>
        <v/>
      </c>
      <c r="L70" s="338"/>
    </row>
    <row r="71" spans="1:12">
      <c r="A71" s="293"/>
      <c r="B71" s="310">
        <v>67</v>
      </c>
      <c r="C71" s="7"/>
      <c r="D71" s="7"/>
      <c r="E71" s="7"/>
      <c r="F71" s="297" t="str">
        <f t="shared" si="5"/>
        <v/>
      </c>
      <c r="G71" s="7"/>
      <c r="H71" s="299" t="str">
        <f t="shared" si="6"/>
        <v/>
      </c>
      <c r="I71" s="7"/>
      <c r="J71" s="299" t="str">
        <f t="shared" si="7"/>
        <v/>
      </c>
      <c r="K71" s="311" t="str">
        <f t="shared" si="8"/>
        <v/>
      </c>
      <c r="L71" s="338"/>
    </row>
    <row r="72" spans="1:12">
      <c r="A72" s="293"/>
      <c r="B72" s="310">
        <v>68</v>
      </c>
      <c r="C72" s="7"/>
      <c r="D72" s="7"/>
      <c r="E72" s="7"/>
      <c r="F72" s="297" t="str">
        <f t="shared" si="5"/>
        <v/>
      </c>
      <c r="G72" s="7"/>
      <c r="H72" s="299" t="str">
        <f t="shared" si="6"/>
        <v/>
      </c>
      <c r="I72" s="7"/>
      <c r="J72" s="299" t="str">
        <f t="shared" si="7"/>
        <v/>
      </c>
      <c r="K72" s="311" t="str">
        <f t="shared" si="8"/>
        <v/>
      </c>
      <c r="L72" s="338"/>
    </row>
    <row r="73" spans="1:12">
      <c r="A73" s="293"/>
      <c r="B73" s="310">
        <v>69</v>
      </c>
      <c r="C73" s="7"/>
      <c r="D73" s="7"/>
      <c r="E73" s="7"/>
      <c r="F73" s="297" t="str">
        <f t="shared" si="5"/>
        <v/>
      </c>
      <c r="G73" s="7"/>
      <c r="H73" s="299" t="str">
        <f t="shared" si="6"/>
        <v/>
      </c>
      <c r="I73" s="7"/>
      <c r="J73" s="299" t="str">
        <f t="shared" si="7"/>
        <v/>
      </c>
      <c r="K73" s="311" t="str">
        <f t="shared" si="8"/>
        <v/>
      </c>
      <c r="L73" s="338"/>
    </row>
    <row r="74" spans="1:12">
      <c r="A74" s="293"/>
      <c r="B74" s="310">
        <v>70</v>
      </c>
      <c r="C74" s="7"/>
      <c r="D74" s="7"/>
      <c r="E74" s="7"/>
      <c r="F74" s="297" t="str">
        <f t="shared" si="5"/>
        <v/>
      </c>
      <c r="G74" s="7"/>
      <c r="H74" s="299" t="str">
        <f t="shared" si="6"/>
        <v/>
      </c>
      <c r="I74" s="7"/>
      <c r="J74" s="299" t="str">
        <f t="shared" si="7"/>
        <v/>
      </c>
      <c r="K74" s="311" t="str">
        <f t="shared" si="8"/>
        <v/>
      </c>
      <c r="L74" s="338"/>
    </row>
    <row r="75" spans="1:12">
      <c r="A75" s="293"/>
      <c r="B75" s="310">
        <v>71</v>
      </c>
      <c r="C75" s="7"/>
      <c r="D75" s="7"/>
      <c r="E75" s="7"/>
      <c r="F75" s="297" t="str">
        <f t="shared" si="5"/>
        <v/>
      </c>
      <c r="G75" s="7"/>
      <c r="H75" s="299" t="str">
        <f t="shared" si="6"/>
        <v/>
      </c>
      <c r="I75" s="7"/>
      <c r="J75" s="299" t="str">
        <f t="shared" si="7"/>
        <v/>
      </c>
      <c r="K75" s="311" t="str">
        <f t="shared" si="8"/>
        <v/>
      </c>
      <c r="L75" s="338"/>
    </row>
    <row r="76" spans="1:12">
      <c r="A76" s="293"/>
      <c r="B76" s="310">
        <v>72</v>
      </c>
      <c r="C76" s="7"/>
      <c r="D76" s="7"/>
      <c r="E76" s="7"/>
      <c r="F76" s="297" t="str">
        <f t="shared" si="5"/>
        <v/>
      </c>
      <c r="G76" s="7"/>
      <c r="H76" s="299" t="str">
        <f t="shared" si="6"/>
        <v/>
      </c>
      <c r="I76" s="7"/>
      <c r="J76" s="299" t="str">
        <f t="shared" si="7"/>
        <v/>
      </c>
      <c r="K76" s="311" t="str">
        <f t="shared" si="8"/>
        <v/>
      </c>
      <c r="L76" s="338"/>
    </row>
    <row r="77" spans="1:12">
      <c r="A77" s="293"/>
      <c r="B77" s="310">
        <v>73</v>
      </c>
      <c r="C77" s="7"/>
      <c r="D77" s="7"/>
      <c r="E77" s="7"/>
      <c r="F77" s="297" t="str">
        <f t="shared" si="5"/>
        <v/>
      </c>
      <c r="G77" s="7"/>
      <c r="H77" s="299" t="str">
        <f t="shared" si="6"/>
        <v/>
      </c>
      <c r="I77" s="7"/>
      <c r="J77" s="299" t="str">
        <f t="shared" si="7"/>
        <v/>
      </c>
      <c r="K77" s="311" t="str">
        <f t="shared" si="8"/>
        <v/>
      </c>
      <c r="L77" s="338"/>
    </row>
    <row r="78" spans="1:12">
      <c r="A78" s="293"/>
      <c r="B78" s="310">
        <v>74</v>
      </c>
      <c r="C78" s="7"/>
      <c r="D78" s="7"/>
      <c r="E78" s="7"/>
      <c r="F78" s="297" t="str">
        <f t="shared" si="5"/>
        <v/>
      </c>
      <c r="G78" s="7"/>
      <c r="H78" s="299" t="str">
        <f t="shared" si="6"/>
        <v/>
      </c>
      <c r="I78" s="7"/>
      <c r="J78" s="299" t="str">
        <f t="shared" si="7"/>
        <v/>
      </c>
      <c r="K78" s="311" t="str">
        <f t="shared" si="8"/>
        <v/>
      </c>
      <c r="L78" s="338"/>
    </row>
    <row r="79" spans="1:12">
      <c r="A79" s="293"/>
      <c r="B79" s="310">
        <v>75</v>
      </c>
      <c r="C79" s="7"/>
      <c r="D79" s="7"/>
      <c r="E79" s="7"/>
      <c r="F79" s="297" t="str">
        <f t="shared" si="5"/>
        <v/>
      </c>
      <c r="G79" s="7"/>
      <c r="H79" s="299" t="str">
        <f t="shared" si="6"/>
        <v/>
      </c>
      <c r="I79" s="7"/>
      <c r="J79" s="299" t="str">
        <f t="shared" si="7"/>
        <v/>
      </c>
      <c r="K79" s="311" t="str">
        <f t="shared" si="8"/>
        <v/>
      </c>
      <c r="L79" s="338"/>
    </row>
    <row r="80" spans="1:12">
      <c r="A80" s="293"/>
      <c r="B80" s="310">
        <v>76</v>
      </c>
      <c r="C80" s="7"/>
      <c r="D80" s="7"/>
      <c r="E80" s="7"/>
      <c r="F80" s="297" t="str">
        <f t="shared" si="5"/>
        <v/>
      </c>
      <c r="G80" s="7"/>
      <c r="H80" s="299" t="str">
        <f t="shared" si="6"/>
        <v/>
      </c>
      <c r="I80" s="7"/>
      <c r="J80" s="299" t="str">
        <f t="shared" si="7"/>
        <v/>
      </c>
      <c r="K80" s="311" t="str">
        <f t="shared" si="8"/>
        <v/>
      </c>
      <c r="L80" s="338"/>
    </row>
    <row r="81" spans="1:12">
      <c r="A81" s="293"/>
      <c r="B81" s="310">
        <v>77</v>
      </c>
      <c r="C81" s="7"/>
      <c r="D81" s="7"/>
      <c r="E81" s="7"/>
      <c r="F81" s="297" t="str">
        <f t="shared" si="5"/>
        <v/>
      </c>
      <c r="G81" s="7"/>
      <c r="H81" s="299" t="str">
        <f t="shared" si="6"/>
        <v/>
      </c>
      <c r="I81" s="7"/>
      <c r="J81" s="299" t="str">
        <f t="shared" si="7"/>
        <v/>
      </c>
      <c r="K81" s="311" t="str">
        <f t="shared" si="8"/>
        <v/>
      </c>
      <c r="L81" s="338"/>
    </row>
    <row r="82" spans="1:12">
      <c r="A82" s="293"/>
      <c r="B82" s="310">
        <v>78</v>
      </c>
      <c r="C82" s="7"/>
      <c r="D82" s="7"/>
      <c r="E82" s="7"/>
      <c r="F82" s="297" t="str">
        <f t="shared" si="5"/>
        <v/>
      </c>
      <c r="G82" s="7"/>
      <c r="H82" s="299" t="str">
        <f t="shared" si="6"/>
        <v/>
      </c>
      <c r="I82" s="7"/>
      <c r="J82" s="299" t="str">
        <f t="shared" si="7"/>
        <v/>
      </c>
      <c r="K82" s="311" t="str">
        <f t="shared" si="8"/>
        <v/>
      </c>
      <c r="L82" s="338"/>
    </row>
    <row r="83" spans="1:12">
      <c r="A83" s="293"/>
      <c r="B83" s="310">
        <v>79</v>
      </c>
      <c r="C83" s="7"/>
      <c r="D83" s="7"/>
      <c r="E83" s="7"/>
      <c r="F83" s="297" t="str">
        <f t="shared" si="5"/>
        <v/>
      </c>
      <c r="G83" s="7"/>
      <c r="H83" s="299" t="str">
        <f t="shared" si="6"/>
        <v/>
      </c>
      <c r="I83" s="7"/>
      <c r="J83" s="299" t="str">
        <f t="shared" si="7"/>
        <v/>
      </c>
      <c r="K83" s="311" t="str">
        <f t="shared" si="8"/>
        <v/>
      </c>
      <c r="L83" s="338"/>
    </row>
    <row r="84" spans="1:12">
      <c r="A84" s="293"/>
      <c r="B84" s="310">
        <v>80</v>
      </c>
      <c r="C84" s="7"/>
      <c r="D84" s="7"/>
      <c r="E84" s="7"/>
      <c r="F84" s="297" t="str">
        <f t="shared" si="5"/>
        <v/>
      </c>
      <c r="G84" s="7"/>
      <c r="H84" s="299" t="str">
        <f t="shared" si="6"/>
        <v/>
      </c>
      <c r="I84" s="7"/>
      <c r="J84" s="299" t="str">
        <f t="shared" si="7"/>
        <v/>
      </c>
      <c r="K84" s="311" t="str">
        <f t="shared" si="8"/>
        <v/>
      </c>
      <c r="L84" s="338"/>
    </row>
    <row r="85" spans="1:12">
      <c r="A85" s="293"/>
      <c r="B85" s="310">
        <v>81</v>
      </c>
      <c r="C85" s="7"/>
      <c r="D85" s="7"/>
      <c r="E85" s="7"/>
      <c r="F85" s="297" t="str">
        <f t="shared" si="5"/>
        <v/>
      </c>
      <c r="G85" s="7"/>
      <c r="H85" s="299" t="str">
        <f t="shared" si="6"/>
        <v/>
      </c>
      <c r="I85" s="7"/>
      <c r="J85" s="299" t="str">
        <f t="shared" si="7"/>
        <v/>
      </c>
      <c r="K85" s="311" t="str">
        <f t="shared" si="8"/>
        <v/>
      </c>
      <c r="L85" s="338"/>
    </row>
    <row r="86" spans="1:12">
      <c r="A86" s="293"/>
      <c r="B86" s="310">
        <v>82</v>
      </c>
      <c r="C86" s="7"/>
      <c r="D86" s="7"/>
      <c r="E86" s="7"/>
      <c r="F86" s="297" t="str">
        <f t="shared" si="5"/>
        <v/>
      </c>
      <c r="G86" s="7"/>
      <c r="H86" s="299" t="str">
        <f t="shared" si="6"/>
        <v/>
      </c>
      <c r="I86" s="7"/>
      <c r="J86" s="299" t="str">
        <f t="shared" si="7"/>
        <v/>
      </c>
      <c r="K86" s="311" t="str">
        <f t="shared" si="8"/>
        <v/>
      </c>
      <c r="L86" s="338"/>
    </row>
    <row r="87" spans="1:12">
      <c r="A87" s="293"/>
      <c r="B87" s="310">
        <v>83</v>
      </c>
      <c r="C87" s="7"/>
      <c r="D87" s="7"/>
      <c r="E87" s="7"/>
      <c r="F87" s="297" t="str">
        <f t="shared" si="5"/>
        <v/>
      </c>
      <c r="G87" s="7"/>
      <c r="H87" s="299" t="str">
        <f t="shared" si="6"/>
        <v/>
      </c>
      <c r="I87" s="7"/>
      <c r="J87" s="299" t="str">
        <f t="shared" si="7"/>
        <v/>
      </c>
      <c r="K87" s="311" t="str">
        <f t="shared" si="8"/>
        <v/>
      </c>
      <c r="L87" s="338"/>
    </row>
    <row r="88" spans="1:12">
      <c r="A88" s="293"/>
      <c r="B88" s="310">
        <v>84</v>
      </c>
      <c r="C88" s="7"/>
      <c r="D88" s="7"/>
      <c r="E88" s="7"/>
      <c r="F88" s="297" t="str">
        <f t="shared" si="5"/>
        <v/>
      </c>
      <c r="G88" s="7"/>
      <c r="H88" s="299" t="str">
        <f t="shared" si="6"/>
        <v/>
      </c>
      <c r="I88" s="7"/>
      <c r="J88" s="299" t="str">
        <f t="shared" si="7"/>
        <v/>
      </c>
      <c r="K88" s="311" t="str">
        <f t="shared" si="8"/>
        <v/>
      </c>
      <c r="L88" s="338"/>
    </row>
    <row r="89" spans="1:12">
      <c r="A89" s="293"/>
      <c r="B89" s="310">
        <v>85</v>
      </c>
      <c r="C89" s="7"/>
      <c r="D89" s="7"/>
      <c r="E89" s="7"/>
      <c r="F89" s="297" t="str">
        <f t="shared" si="5"/>
        <v/>
      </c>
      <c r="G89" s="7"/>
      <c r="H89" s="299" t="str">
        <f t="shared" si="6"/>
        <v/>
      </c>
      <c r="I89" s="7"/>
      <c r="J89" s="299" t="str">
        <f t="shared" si="7"/>
        <v/>
      </c>
      <c r="K89" s="311" t="str">
        <f t="shared" si="8"/>
        <v/>
      </c>
      <c r="L89" s="338"/>
    </row>
    <row r="90" spans="1:12">
      <c r="A90" s="293"/>
      <c r="B90" s="310">
        <v>86</v>
      </c>
      <c r="C90" s="7"/>
      <c r="D90" s="7"/>
      <c r="E90" s="7"/>
      <c r="F90" s="297" t="str">
        <f t="shared" si="5"/>
        <v/>
      </c>
      <c r="G90" s="7"/>
      <c r="H90" s="299" t="str">
        <f t="shared" si="6"/>
        <v/>
      </c>
      <c r="I90" s="7"/>
      <c r="J90" s="299" t="str">
        <f t="shared" si="7"/>
        <v/>
      </c>
      <c r="K90" s="311" t="str">
        <f t="shared" si="8"/>
        <v/>
      </c>
      <c r="L90" s="338"/>
    </row>
    <row r="91" spans="1:12">
      <c r="A91" s="293"/>
      <c r="B91" s="310">
        <v>87</v>
      </c>
      <c r="C91" s="7"/>
      <c r="D91" s="7"/>
      <c r="E91" s="7"/>
      <c r="F91" s="297" t="str">
        <f t="shared" si="5"/>
        <v/>
      </c>
      <c r="G91" s="7"/>
      <c r="H91" s="299" t="str">
        <f t="shared" si="6"/>
        <v/>
      </c>
      <c r="I91" s="7"/>
      <c r="J91" s="299" t="str">
        <f t="shared" si="7"/>
        <v/>
      </c>
      <c r="K91" s="311" t="str">
        <f t="shared" si="8"/>
        <v/>
      </c>
      <c r="L91" s="338"/>
    </row>
    <row r="92" spans="1:12">
      <c r="A92" s="293"/>
      <c r="B92" s="310">
        <v>88</v>
      </c>
      <c r="C92" s="7"/>
      <c r="D92" s="7"/>
      <c r="E92" s="7"/>
      <c r="F92" s="297" t="str">
        <f t="shared" si="5"/>
        <v/>
      </c>
      <c r="G92" s="7"/>
      <c r="H92" s="299" t="str">
        <f t="shared" si="6"/>
        <v/>
      </c>
      <c r="I92" s="7"/>
      <c r="J92" s="299" t="str">
        <f t="shared" si="7"/>
        <v/>
      </c>
      <c r="K92" s="311" t="str">
        <f t="shared" si="8"/>
        <v/>
      </c>
      <c r="L92" s="338"/>
    </row>
    <row r="93" spans="1:12">
      <c r="A93" s="293"/>
      <c r="B93" s="310">
        <v>89</v>
      </c>
      <c r="C93" s="7"/>
      <c r="D93" s="7"/>
      <c r="E93" s="7"/>
      <c r="F93" s="297" t="str">
        <f t="shared" si="5"/>
        <v/>
      </c>
      <c r="G93" s="7"/>
      <c r="H93" s="299" t="str">
        <f t="shared" si="6"/>
        <v/>
      </c>
      <c r="I93" s="7"/>
      <c r="J93" s="299" t="str">
        <f t="shared" si="7"/>
        <v/>
      </c>
      <c r="K93" s="311" t="str">
        <f t="shared" si="8"/>
        <v/>
      </c>
      <c r="L93" s="338"/>
    </row>
    <row r="94" spans="1:12">
      <c r="A94" s="293"/>
      <c r="B94" s="310">
        <v>90</v>
      </c>
      <c r="C94" s="7"/>
      <c r="D94" s="7"/>
      <c r="E94" s="7"/>
      <c r="F94" s="297" t="str">
        <f t="shared" si="5"/>
        <v/>
      </c>
      <c r="G94" s="7"/>
      <c r="H94" s="299" t="str">
        <f t="shared" si="6"/>
        <v/>
      </c>
      <c r="I94" s="7"/>
      <c r="J94" s="299" t="str">
        <f t="shared" si="7"/>
        <v/>
      </c>
      <c r="K94" s="311" t="str">
        <f t="shared" si="8"/>
        <v/>
      </c>
      <c r="L94" s="338"/>
    </row>
    <row r="95" spans="1:12">
      <c r="A95" s="293"/>
      <c r="B95" s="310">
        <v>91</v>
      </c>
      <c r="C95" s="7"/>
      <c r="D95" s="7"/>
      <c r="E95" s="7"/>
      <c r="F95" s="297" t="str">
        <f t="shared" si="5"/>
        <v/>
      </c>
      <c r="G95" s="7"/>
      <c r="H95" s="299" t="str">
        <f t="shared" si="6"/>
        <v/>
      </c>
      <c r="I95" s="7"/>
      <c r="J95" s="299" t="str">
        <f t="shared" si="7"/>
        <v/>
      </c>
      <c r="K95" s="311" t="str">
        <f t="shared" si="8"/>
        <v/>
      </c>
      <c r="L95" s="338"/>
    </row>
    <row r="96" spans="1:12">
      <c r="A96" s="293"/>
      <c r="B96" s="310">
        <v>92</v>
      </c>
      <c r="C96" s="7"/>
      <c r="D96" s="7"/>
      <c r="E96" s="7"/>
      <c r="F96" s="297" t="str">
        <f t="shared" si="5"/>
        <v/>
      </c>
      <c r="G96" s="7"/>
      <c r="H96" s="299" t="str">
        <f t="shared" si="6"/>
        <v/>
      </c>
      <c r="I96" s="7"/>
      <c r="J96" s="299" t="str">
        <f t="shared" si="7"/>
        <v/>
      </c>
      <c r="K96" s="311" t="str">
        <f t="shared" si="8"/>
        <v/>
      </c>
      <c r="L96" s="338"/>
    </row>
    <row r="97" spans="1:12">
      <c r="A97" s="293"/>
      <c r="B97" s="310">
        <v>93</v>
      </c>
      <c r="C97" s="7"/>
      <c r="D97" s="7"/>
      <c r="E97" s="7"/>
      <c r="F97" s="297" t="str">
        <f t="shared" si="5"/>
        <v/>
      </c>
      <c r="G97" s="7"/>
      <c r="H97" s="299" t="str">
        <f t="shared" si="6"/>
        <v/>
      </c>
      <c r="I97" s="7"/>
      <c r="J97" s="299" t="str">
        <f t="shared" si="7"/>
        <v/>
      </c>
      <c r="K97" s="311" t="str">
        <f t="shared" si="8"/>
        <v/>
      </c>
      <c r="L97" s="338"/>
    </row>
    <row r="98" spans="1:12">
      <c r="A98" s="293"/>
      <c r="B98" s="310">
        <v>94</v>
      </c>
      <c r="C98" s="7"/>
      <c r="D98" s="7"/>
      <c r="E98" s="7"/>
      <c r="F98" s="297" t="str">
        <f t="shared" si="5"/>
        <v/>
      </c>
      <c r="G98" s="7"/>
      <c r="H98" s="299" t="str">
        <f t="shared" si="6"/>
        <v/>
      </c>
      <c r="I98" s="7"/>
      <c r="J98" s="299" t="str">
        <f t="shared" si="7"/>
        <v/>
      </c>
      <c r="K98" s="311" t="str">
        <f t="shared" si="8"/>
        <v/>
      </c>
      <c r="L98" s="338"/>
    </row>
    <row r="99" spans="1:12">
      <c r="A99" s="293"/>
      <c r="B99" s="310">
        <v>95</v>
      </c>
      <c r="C99" s="7"/>
      <c r="D99" s="7"/>
      <c r="E99" s="7"/>
      <c r="F99" s="297" t="str">
        <f t="shared" si="5"/>
        <v/>
      </c>
      <c r="G99" s="7"/>
      <c r="H99" s="299" t="str">
        <f t="shared" si="6"/>
        <v/>
      </c>
      <c r="I99" s="7"/>
      <c r="J99" s="299" t="str">
        <f t="shared" si="7"/>
        <v/>
      </c>
      <c r="K99" s="311" t="str">
        <f t="shared" si="8"/>
        <v/>
      </c>
      <c r="L99" s="338"/>
    </row>
    <row r="100" spans="1:12">
      <c r="A100" s="293"/>
      <c r="B100" s="310">
        <v>96</v>
      </c>
      <c r="C100" s="7"/>
      <c r="D100" s="7"/>
      <c r="E100" s="7"/>
      <c r="F100" s="297" t="str">
        <f t="shared" si="5"/>
        <v/>
      </c>
      <c r="G100" s="7"/>
      <c r="H100" s="299" t="str">
        <f t="shared" si="6"/>
        <v/>
      </c>
      <c r="I100" s="7"/>
      <c r="J100" s="299" t="str">
        <f t="shared" si="7"/>
        <v/>
      </c>
      <c r="K100" s="311" t="str">
        <f t="shared" si="8"/>
        <v/>
      </c>
      <c r="L100" s="338"/>
    </row>
    <row r="101" spans="1:12">
      <c r="A101" s="293"/>
      <c r="B101" s="310">
        <v>97</v>
      </c>
      <c r="C101" s="7"/>
      <c r="D101" s="7"/>
      <c r="E101" s="7"/>
      <c r="F101" s="297" t="str">
        <f t="shared" si="5"/>
        <v/>
      </c>
      <c r="G101" s="7"/>
      <c r="H101" s="299" t="str">
        <f t="shared" si="6"/>
        <v/>
      </c>
      <c r="I101" s="7"/>
      <c r="J101" s="299" t="str">
        <f t="shared" si="7"/>
        <v/>
      </c>
      <c r="K101" s="311" t="str">
        <f t="shared" si="8"/>
        <v/>
      </c>
      <c r="L101" s="338"/>
    </row>
    <row r="102" spans="1:12">
      <c r="A102" s="293"/>
      <c r="B102" s="310">
        <v>98</v>
      </c>
      <c r="C102" s="7"/>
      <c r="D102" s="7"/>
      <c r="E102" s="7"/>
      <c r="F102" s="297" t="str">
        <f t="shared" si="5"/>
        <v/>
      </c>
      <c r="G102" s="7"/>
      <c r="H102" s="299" t="str">
        <f t="shared" si="6"/>
        <v/>
      </c>
      <c r="I102" s="7"/>
      <c r="J102" s="299" t="str">
        <f t="shared" si="7"/>
        <v/>
      </c>
      <c r="K102" s="311" t="str">
        <f t="shared" si="8"/>
        <v/>
      </c>
      <c r="L102" s="338"/>
    </row>
    <row r="103" spans="1:12">
      <c r="A103" s="293"/>
      <c r="B103" s="310">
        <v>99</v>
      </c>
      <c r="C103" s="7"/>
      <c r="D103" s="7"/>
      <c r="E103" s="7"/>
      <c r="F103" s="297" t="str">
        <f t="shared" ref="F103" si="9">IF(E103="","",D103*E103)</f>
        <v/>
      </c>
      <c r="G103" s="7"/>
      <c r="H103" s="299" t="str">
        <f t="shared" ref="H103" si="10">IF(G103="","",F103/G103)</f>
        <v/>
      </c>
      <c r="I103" s="7"/>
      <c r="J103" s="299" t="str">
        <f t="shared" ref="J103" si="11">IF(I103="","",F103*I103)</f>
        <v/>
      </c>
      <c r="K103" s="311" t="str">
        <f t="shared" ref="K103" si="12">IF(I103="","",H103*I103)</f>
        <v/>
      </c>
      <c r="L103" s="338"/>
    </row>
    <row r="104" spans="1:12">
      <c r="A104" s="293"/>
      <c r="B104" s="310">
        <v>100</v>
      </c>
      <c r="C104" s="7"/>
      <c r="D104" s="7"/>
      <c r="E104" s="7"/>
      <c r="F104" s="297" t="str">
        <f t="shared" si="5"/>
        <v/>
      </c>
      <c r="G104" s="7"/>
      <c r="H104" s="299" t="str">
        <f t="shared" si="6"/>
        <v/>
      </c>
      <c r="I104" s="7"/>
      <c r="J104" s="299" t="str">
        <f t="shared" si="7"/>
        <v/>
      </c>
      <c r="K104" s="311" t="str">
        <f t="shared" si="8"/>
        <v/>
      </c>
      <c r="L104" s="338"/>
    </row>
    <row r="105" spans="1:12" ht="16.5" customHeight="1">
      <c r="A105" s="293"/>
      <c r="B105" s="348" t="s">
        <v>12</v>
      </c>
      <c r="C105" s="349"/>
      <c r="D105" s="349"/>
      <c r="E105" s="350"/>
      <c r="F105" s="298">
        <f>SUM(F5:F104)</f>
        <v>0</v>
      </c>
      <c r="G105" s="10"/>
      <c r="H105" s="300">
        <f>SUM(H5:H104)</f>
        <v>0</v>
      </c>
      <c r="I105" s="10"/>
      <c r="J105" s="298">
        <f>SUM(J5:J104)</f>
        <v>0</v>
      </c>
      <c r="K105" s="312">
        <f>SUM(K5:K104)</f>
        <v>0</v>
      </c>
      <c r="L105" s="9"/>
    </row>
    <row r="106" spans="1:12" ht="15.75" hidden="1" customHeight="1">
      <c r="A106" s="293"/>
      <c r="B106" s="345" t="s">
        <v>13</v>
      </c>
      <c r="C106" s="346"/>
      <c r="D106" s="346"/>
      <c r="E106" s="347"/>
      <c r="F106" s="11"/>
      <c r="G106" s="12"/>
      <c r="H106" s="13"/>
      <c r="I106" s="12"/>
      <c r="J106" s="13"/>
      <c r="K106" s="313"/>
      <c r="L106" s="9"/>
    </row>
    <row r="107" spans="1:12">
      <c r="A107" s="293"/>
      <c r="B107" s="345" t="s">
        <v>14</v>
      </c>
      <c r="C107" s="346"/>
      <c r="D107" s="346"/>
      <c r="E107" s="347"/>
      <c r="F107" s="15">
        <v>0.92</v>
      </c>
      <c r="G107" s="351"/>
      <c r="H107" s="352"/>
      <c r="I107" s="352"/>
      <c r="J107" s="352"/>
      <c r="K107" s="353"/>
      <c r="L107" s="9"/>
    </row>
    <row r="108" spans="1:12" ht="27.75" customHeight="1">
      <c r="A108" s="293"/>
      <c r="B108" s="345" t="s">
        <v>15</v>
      </c>
      <c r="C108" s="346"/>
      <c r="D108" s="346"/>
      <c r="E108" s="347"/>
      <c r="F108" s="262" t="str">
        <f>IFERROR(F105/H105," ")</f>
        <v xml:space="preserve"> </v>
      </c>
      <c r="G108" s="351"/>
      <c r="H108" s="352"/>
      <c r="I108" s="352"/>
      <c r="J108" s="352"/>
      <c r="K108" s="353"/>
      <c r="L108" s="9"/>
    </row>
    <row r="109" spans="1:12" ht="30" customHeight="1" thickBot="1">
      <c r="A109" s="295"/>
      <c r="B109" s="339" t="s">
        <v>16</v>
      </c>
      <c r="C109" s="340"/>
      <c r="D109" s="340"/>
      <c r="E109" s="340"/>
      <c r="F109" s="340"/>
      <c r="G109" s="340"/>
      <c r="H109" s="340"/>
      <c r="I109" s="340"/>
      <c r="J109" s="340"/>
      <c r="K109" s="341"/>
      <c r="L109" s="9"/>
    </row>
    <row r="110" spans="1:12" ht="30" hidden="1" customHeight="1">
      <c r="B110" s="285">
        <v>57</v>
      </c>
      <c r="C110" s="285"/>
      <c r="D110" s="285"/>
      <c r="E110" s="285"/>
      <c r="F110" s="285"/>
      <c r="G110" s="285"/>
      <c r="H110" s="285"/>
      <c r="I110" s="285"/>
      <c r="J110" s="285"/>
      <c r="K110" s="285"/>
      <c r="L110" s="9"/>
    </row>
    <row r="111" spans="1:12" ht="30" hidden="1" customHeight="1">
      <c r="B111" s="285">
        <v>58</v>
      </c>
      <c r="C111" s="285"/>
      <c r="D111" s="285"/>
      <c r="E111" s="285"/>
      <c r="F111" s="285"/>
      <c r="G111" s="285"/>
      <c r="H111" s="285"/>
      <c r="I111" s="285"/>
      <c r="J111" s="285"/>
      <c r="K111" s="285"/>
      <c r="L111" s="9"/>
    </row>
    <row r="112" spans="1:12" ht="30" hidden="1" customHeight="1">
      <c r="B112" s="285">
        <v>59</v>
      </c>
      <c r="C112" s="285"/>
      <c r="D112" s="285"/>
      <c r="E112" s="285"/>
      <c r="F112" s="285"/>
      <c r="G112" s="285"/>
      <c r="H112" s="285"/>
      <c r="I112" s="285"/>
      <c r="J112" s="285"/>
      <c r="K112" s="285"/>
      <c r="L112" s="9"/>
    </row>
    <row r="113" spans="2:12" ht="30" hidden="1" customHeight="1">
      <c r="B113" s="285">
        <v>60</v>
      </c>
      <c r="C113" s="285"/>
      <c r="D113" s="285"/>
      <c r="E113" s="285"/>
      <c r="F113" s="285"/>
      <c r="G113" s="285"/>
      <c r="H113" s="285"/>
      <c r="I113" s="285"/>
      <c r="J113" s="285"/>
      <c r="K113" s="285"/>
      <c r="L113" s="9"/>
    </row>
    <row r="114" spans="2:12" ht="30" hidden="1" customHeight="1">
      <c r="B114" s="285">
        <v>61</v>
      </c>
      <c r="C114" s="285"/>
      <c r="D114" s="285"/>
      <c r="E114" s="285"/>
      <c r="F114" s="285"/>
      <c r="G114" s="285"/>
      <c r="H114" s="285"/>
      <c r="I114" s="285"/>
      <c r="J114" s="285"/>
      <c r="K114" s="285"/>
      <c r="L114" s="9"/>
    </row>
    <row r="115" spans="2:12" ht="30" hidden="1" customHeight="1">
      <c r="B115" s="285">
        <v>62</v>
      </c>
      <c r="C115" s="285"/>
      <c r="D115" s="285"/>
      <c r="E115" s="285"/>
      <c r="F115" s="285"/>
      <c r="G115" s="285"/>
      <c r="H115" s="285"/>
      <c r="I115" s="285"/>
      <c r="J115" s="285"/>
      <c r="K115" s="285"/>
      <c r="L115" s="9"/>
    </row>
    <row r="116" spans="2:12" ht="30" hidden="1" customHeight="1">
      <c r="B116" s="285">
        <v>63</v>
      </c>
      <c r="C116" s="285"/>
      <c r="D116" s="285"/>
      <c r="E116" s="285"/>
      <c r="F116" s="285"/>
      <c r="G116" s="285"/>
      <c r="H116" s="285"/>
      <c r="I116" s="285"/>
      <c r="J116" s="285"/>
      <c r="K116" s="285"/>
      <c r="L116" s="9"/>
    </row>
    <row r="117" spans="2:12" ht="30" hidden="1" customHeight="1">
      <c r="B117" s="285">
        <v>64</v>
      </c>
      <c r="C117" s="285"/>
      <c r="D117" s="285"/>
      <c r="E117" s="285"/>
      <c r="F117" s="285"/>
      <c r="G117" s="285"/>
      <c r="H117" s="285"/>
      <c r="I117" s="285"/>
      <c r="J117" s="285"/>
      <c r="K117" s="285"/>
      <c r="L117" s="9"/>
    </row>
    <row r="118" spans="2:12" ht="30" hidden="1" customHeight="1">
      <c r="B118" s="285">
        <v>65</v>
      </c>
      <c r="C118" s="285"/>
      <c r="D118" s="285"/>
      <c r="E118" s="285"/>
      <c r="F118" s="285"/>
      <c r="G118" s="285"/>
      <c r="H118" s="285"/>
      <c r="I118" s="285"/>
      <c r="J118" s="285"/>
      <c r="K118" s="285"/>
      <c r="L118" s="9"/>
    </row>
    <row r="119" spans="2:12" ht="30" hidden="1" customHeight="1">
      <c r="B119" s="285">
        <v>66</v>
      </c>
      <c r="C119" s="285"/>
      <c r="D119" s="285"/>
      <c r="E119" s="285"/>
      <c r="F119" s="285"/>
      <c r="G119" s="285"/>
      <c r="H119" s="285"/>
      <c r="I119" s="285"/>
      <c r="J119" s="285"/>
      <c r="K119" s="285"/>
      <c r="L119" s="9"/>
    </row>
    <row r="120" spans="2:12" ht="30" hidden="1" customHeight="1">
      <c r="B120" s="285">
        <v>67</v>
      </c>
      <c r="C120" s="285"/>
      <c r="D120" s="285"/>
      <c r="E120" s="285"/>
      <c r="F120" s="285"/>
      <c r="G120" s="285"/>
      <c r="H120" s="285"/>
      <c r="I120" s="285"/>
      <c r="J120" s="285"/>
      <c r="K120" s="285"/>
      <c r="L120" s="9"/>
    </row>
    <row r="121" spans="2:12" ht="30" hidden="1" customHeight="1">
      <c r="B121" s="285">
        <v>68</v>
      </c>
      <c r="C121" s="285"/>
      <c r="D121" s="285"/>
      <c r="E121" s="285"/>
      <c r="F121" s="285"/>
      <c r="G121" s="285"/>
      <c r="H121" s="285"/>
      <c r="I121" s="285"/>
      <c r="J121" s="285"/>
      <c r="K121" s="285"/>
      <c r="L121" s="9"/>
    </row>
    <row r="122" spans="2:12" ht="30" hidden="1" customHeight="1">
      <c r="B122" s="285">
        <v>69</v>
      </c>
      <c r="C122" s="285"/>
      <c r="D122" s="285"/>
      <c r="E122" s="285"/>
      <c r="F122" s="285"/>
      <c r="G122" s="285"/>
      <c r="H122" s="285"/>
      <c r="I122" s="285"/>
      <c r="J122" s="285"/>
      <c r="K122" s="285"/>
      <c r="L122" s="9"/>
    </row>
    <row r="123" spans="2:12" ht="30" hidden="1" customHeight="1">
      <c r="B123" s="285">
        <v>70</v>
      </c>
      <c r="C123" s="285"/>
      <c r="D123" s="285"/>
      <c r="E123" s="285"/>
      <c r="F123" s="285"/>
      <c r="G123" s="285"/>
      <c r="H123" s="285"/>
      <c r="I123" s="285"/>
      <c r="J123" s="285"/>
      <c r="K123" s="285"/>
      <c r="L123" s="9"/>
    </row>
    <row r="124" spans="2:12" ht="30" hidden="1" customHeight="1">
      <c r="B124" s="285">
        <v>71</v>
      </c>
      <c r="C124" s="285"/>
      <c r="D124" s="285"/>
      <c r="E124" s="285"/>
      <c r="F124" s="285"/>
      <c r="G124" s="285"/>
      <c r="H124" s="285"/>
      <c r="I124" s="285"/>
      <c r="J124" s="285"/>
      <c r="K124" s="285"/>
      <c r="L124" s="9"/>
    </row>
    <row r="125" spans="2:12" ht="30" hidden="1" customHeight="1">
      <c r="B125" s="285">
        <v>72</v>
      </c>
      <c r="C125" s="285"/>
      <c r="D125" s="285"/>
      <c r="E125" s="285"/>
      <c r="F125" s="285"/>
      <c r="G125" s="285"/>
      <c r="H125" s="285"/>
      <c r="I125" s="285"/>
      <c r="J125" s="285"/>
      <c r="K125" s="285"/>
      <c r="L125" s="9"/>
    </row>
    <row r="126" spans="2:12" hidden="1"/>
    <row r="127" spans="2:12" hidden="1"/>
    <row r="128" spans="2:12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</sheetData>
  <sheetProtection algorithmName="SHA-512" hashValue="9kOEtOQHbeyOvI9vSzLMHesySDY8WH9ERb5AuCRkZMYo8j27BGXnvw+v7zfJ3GZv1WHvWlzKLqIBOM5Fy3+uxg==" saltValue="Rw7oqY7cv4HotC8KhL1iCA==" spinCount="100000" sheet="1" objects="1" scenarios="1" selectLockedCells="1"/>
  <mergeCells count="8">
    <mergeCell ref="B109:K109"/>
    <mergeCell ref="B2:K2"/>
    <mergeCell ref="B106:E106"/>
    <mergeCell ref="B107:E107"/>
    <mergeCell ref="B108:E108"/>
    <mergeCell ref="B105:E105"/>
    <mergeCell ref="G107:K108"/>
    <mergeCell ref="B3:K3"/>
  </mergeCells>
  <printOptions horizontalCentered="1"/>
  <pageMargins left="0.511811023622047" right="0.511811023622047" top="0.59055118110236204" bottom="0.59055118110236204" header="0.31496062992126" footer="0.31496062992126"/>
  <pageSetup paperSize="9" scale="85" fitToWidth="0" orientation="portrait" r:id="rId1"/>
  <rowBreaks count="1" manualBreakCount="1">
    <brk id="108" max="14" man="1"/>
  </rowBreaks>
  <ignoredErrors>
    <ignoredError sqref="F105:K105 K6:K31" unlockedFormula="1"/>
  </ignoredError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A1:D6"/>
  <sheetViews>
    <sheetView workbookViewId="0">
      <selection activeCell="C7" sqref="C7"/>
    </sheetView>
  </sheetViews>
  <sheetFormatPr defaultColWidth="9.140625" defaultRowHeight="12.75"/>
  <cols>
    <col min="1" max="2" width="42" style="170" customWidth="1"/>
    <col min="3" max="4" width="18.42578125" style="170" customWidth="1"/>
    <col min="5" max="16384" width="9.140625" style="170"/>
  </cols>
  <sheetData>
    <row r="1" spans="1:4" ht="13.5" thickBot="1"/>
    <row r="2" spans="1:4" ht="13.5" thickBot="1">
      <c r="A2" s="557" t="s">
        <v>256</v>
      </c>
      <c r="B2" s="557"/>
      <c r="C2" s="557"/>
      <c r="D2" s="557"/>
    </row>
    <row r="3" spans="1:4" ht="13.5" thickBot="1">
      <c r="A3" s="232" t="s">
        <v>233</v>
      </c>
      <c r="B3" s="232"/>
      <c r="C3" s="191" t="s">
        <v>257</v>
      </c>
      <c r="D3" s="192" t="s">
        <v>257</v>
      </c>
    </row>
    <row r="4" spans="1:4" ht="13.5" thickBot="1">
      <c r="A4" s="232" t="s">
        <v>258</v>
      </c>
      <c r="B4" s="232"/>
      <c r="C4" s="191" t="s">
        <v>239</v>
      </c>
      <c r="D4" s="192" t="s">
        <v>239</v>
      </c>
    </row>
    <row r="5" spans="1:4" ht="13.5" thickBot="1">
      <c r="A5" s="234" t="s">
        <v>233</v>
      </c>
      <c r="B5" s="234"/>
      <c r="C5" s="184" t="s">
        <v>298</v>
      </c>
      <c r="D5" s="185" t="s">
        <v>298</v>
      </c>
    </row>
    <row r="6" spans="1:4" ht="13.5" thickBot="1">
      <c r="A6" s="234" t="s">
        <v>258</v>
      </c>
      <c r="B6" s="234"/>
      <c r="C6" s="184" t="s">
        <v>239</v>
      </c>
      <c r="D6" s="185" t="s">
        <v>239</v>
      </c>
    </row>
  </sheetData>
  <mergeCells count="1">
    <mergeCell ref="A2:D2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>
    <tabColor rgb="FF002060"/>
  </sheetPr>
  <dimension ref="A1:XFD298"/>
  <sheetViews>
    <sheetView showGridLines="0" zoomScaleSheetLayoutView="100" workbookViewId="0">
      <selection activeCell="C4" sqref="C4:I5"/>
    </sheetView>
  </sheetViews>
  <sheetFormatPr defaultColWidth="9.140625" defaultRowHeight="12.75" zeroHeight="1"/>
  <cols>
    <col min="1" max="1" width="3.28515625" style="148" customWidth="1"/>
    <col min="2" max="2" width="23.85546875" style="35" customWidth="1"/>
    <col min="3" max="3" width="19.42578125" style="35" customWidth="1"/>
    <col min="4" max="4" width="13" style="35" customWidth="1"/>
    <col min="5" max="5" width="15.42578125" style="35" customWidth="1"/>
    <col min="6" max="6" width="14.5703125" style="35" customWidth="1"/>
    <col min="7" max="7" width="12.7109375" style="35" customWidth="1"/>
    <col min="8" max="8" width="6.42578125" style="35" customWidth="1"/>
    <col min="9" max="9" width="13" style="35" customWidth="1"/>
    <col min="10" max="10" width="1.7109375" style="31" hidden="1" customWidth="1"/>
    <col min="11" max="11" width="13.28515625" style="49" hidden="1" customWidth="1"/>
    <col min="12" max="12" width="14.7109375" style="50" hidden="1" customWidth="1"/>
    <col min="13" max="13" width="6.5703125" style="35" hidden="1" customWidth="1"/>
    <col min="14" max="32" width="9.140625" style="35" hidden="1" customWidth="1"/>
    <col min="33" max="33" width="21.42578125" style="35" hidden="1" customWidth="1"/>
    <col min="34" max="34" width="8.28515625" style="35" hidden="1" customWidth="1"/>
    <col min="35" max="36" width="9.140625" style="50" hidden="1" customWidth="1"/>
    <col min="37" max="37" width="13.85546875" style="50" hidden="1" customWidth="1"/>
    <col min="38" max="38" width="9.140625" style="50" hidden="1" customWidth="1"/>
    <col min="39" max="39" width="35.85546875" style="50" hidden="1" customWidth="1"/>
    <col min="40" max="40" width="12.140625" style="50" hidden="1" customWidth="1"/>
    <col min="41" max="41" width="9.140625" style="50" hidden="1" customWidth="1"/>
    <col min="42" max="42" width="63.28515625" style="50" hidden="1" customWidth="1"/>
    <col min="43" max="43" width="19.28515625" style="31" hidden="1" customWidth="1"/>
    <col min="44" max="16381" width="0" style="35" hidden="1" customWidth="1"/>
    <col min="16382" max="16382" width="23.85546875" style="35" hidden="1" customWidth="1"/>
    <col min="16383" max="16383" width="15" style="35" hidden="1" customWidth="1"/>
    <col min="16384" max="16384" width="7.85546875" style="35" customWidth="1"/>
  </cols>
  <sheetData>
    <row r="1" spans="1:21" ht="44.25" customHeight="1" thickBot="1">
      <c r="A1" s="382" t="s">
        <v>17</v>
      </c>
      <c r="B1" s="383"/>
      <c r="C1" s="383"/>
      <c r="D1" s="383"/>
      <c r="E1" s="383"/>
      <c r="F1" s="383"/>
      <c r="G1" s="383"/>
      <c r="H1" s="383"/>
      <c r="I1" s="384"/>
    </row>
    <row r="2" spans="1:21" ht="27.75" customHeight="1">
      <c r="A2" s="393" t="s">
        <v>18</v>
      </c>
      <c r="B2" s="321" t="s">
        <v>19</v>
      </c>
      <c r="C2" s="322"/>
      <c r="D2" s="322"/>
      <c r="E2" s="322"/>
      <c r="F2" s="323"/>
      <c r="G2" s="323"/>
      <c r="H2" s="323"/>
      <c r="I2" s="324"/>
    </row>
    <row r="3" spans="1:21" ht="8.25" customHeight="1">
      <c r="A3" s="394"/>
      <c r="B3" s="34"/>
      <c r="D3" s="36"/>
      <c r="I3" s="37"/>
    </row>
    <row r="4" spans="1:21" ht="16.5" customHeight="1">
      <c r="A4" s="394"/>
      <c r="B4" s="385" t="s">
        <v>20</v>
      </c>
      <c r="C4" s="387"/>
      <c r="D4" s="388"/>
      <c r="E4" s="388"/>
      <c r="F4" s="388"/>
      <c r="G4" s="388"/>
      <c r="H4" s="388"/>
      <c r="I4" s="389"/>
    </row>
    <row r="5" spans="1:21" ht="16.5" customHeight="1">
      <c r="A5" s="394"/>
      <c r="B5" s="386"/>
      <c r="C5" s="390"/>
      <c r="D5" s="391"/>
      <c r="E5" s="391"/>
      <c r="F5" s="391"/>
      <c r="G5" s="391"/>
      <c r="H5" s="391"/>
      <c r="I5" s="392"/>
    </row>
    <row r="6" spans="1:21" ht="11.25" customHeight="1">
      <c r="A6" s="394"/>
      <c r="B6" s="314"/>
      <c r="C6" s="38"/>
      <c r="D6" s="38"/>
      <c r="E6" s="38"/>
      <c r="F6" s="38"/>
      <c r="G6" s="38"/>
      <c r="H6" s="39"/>
      <c r="I6" s="40"/>
    </row>
    <row r="7" spans="1:21" ht="16.5" customHeight="1">
      <c r="A7" s="394"/>
      <c r="B7" s="385" t="s">
        <v>21</v>
      </c>
      <c r="C7" s="387"/>
      <c r="D7" s="388"/>
      <c r="E7" s="388"/>
      <c r="F7" s="388"/>
      <c r="G7" s="388"/>
      <c r="H7" s="388"/>
      <c r="I7" s="389"/>
    </row>
    <row r="8" spans="1:21" ht="16.5" customHeight="1">
      <c r="A8" s="394"/>
      <c r="B8" s="386"/>
      <c r="C8" s="390"/>
      <c r="D8" s="391"/>
      <c r="E8" s="391"/>
      <c r="F8" s="391"/>
      <c r="G8" s="391"/>
      <c r="H8" s="391"/>
      <c r="I8" s="392"/>
      <c r="T8" s="268">
        <v>34.5</v>
      </c>
      <c r="U8" s="269" t="s">
        <v>22</v>
      </c>
    </row>
    <row r="9" spans="1:21" ht="15.75" customHeight="1">
      <c r="A9" s="394"/>
      <c r="B9" s="315"/>
      <c r="C9" s="38"/>
      <c r="D9" s="38"/>
      <c r="E9" s="38"/>
      <c r="F9" s="38"/>
      <c r="G9" s="38"/>
      <c r="H9" s="38"/>
      <c r="I9" s="42"/>
      <c r="T9" s="268">
        <v>13.8</v>
      </c>
      <c r="U9" s="269" t="s">
        <v>23</v>
      </c>
    </row>
    <row r="10" spans="1:21" ht="16.5" customHeight="1">
      <c r="A10" s="394"/>
      <c r="B10" s="385" t="s">
        <v>24</v>
      </c>
      <c r="C10" s="387"/>
      <c r="D10" s="388"/>
      <c r="E10" s="388"/>
      <c r="F10" s="388"/>
      <c r="G10" s="388"/>
      <c r="H10" s="388"/>
      <c r="I10" s="389"/>
      <c r="T10" s="35">
        <v>23.1</v>
      </c>
    </row>
    <row r="11" spans="1:21" ht="16.5" customHeight="1">
      <c r="A11" s="394"/>
      <c r="B11" s="386"/>
      <c r="C11" s="390"/>
      <c r="D11" s="391"/>
      <c r="E11" s="391"/>
      <c r="F11" s="391"/>
      <c r="G11" s="391"/>
      <c r="H11" s="391"/>
      <c r="I11" s="392"/>
    </row>
    <row r="12" spans="1:21" ht="6.75" customHeight="1" thickBot="1">
      <c r="A12" s="394"/>
      <c r="B12" s="41"/>
      <c r="C12" s="38"/>
      <c r="D12" s="38"/>
      <c r="E12" s="38"/>
      <c r="F12" s="38"/>
      <c r="G12" s="38"/>
      <c r="H12" s="38"/>
      <c r="I12" s="42"/>
    </row>
    <row r="13" spans="1:21" ht="19.5" customHeight="1">
      <c r="A13" s="394"/>
      <c r="B13" s="396" t="s">
        <v>25</v>
      </c>
      <c r="C13" s="397"/>
      <c r="D13" s="397"/>
      <c r="E13" s="256"/>
      <c r="F13" s="256"/>
      <c r="G13" s="33"/>
      <c r="H13" s="33"/>
      <c r="I13" s="255"/>
    </row>
    <row r="14" spans="1:21" ht="15.75" customHeight="1">
      <c r="A14" s="394"/>
      <c r="B14" s="329" t="s">
        <v>26</v>
      </c>
      <c r="C14" s="296"/>
      <c r="D14" s="331" t="s">
        <v>27</v>
      </c>
      <c r="I14" s="37"/>
      <c r="J14" s="52"/>
      <c r="K14" s="53"/>
    </row>
    <row r="15" spans="1:21" ht="15.75" customHeight="1">
      <c r="A15" s="394"/>
      <c r="B15" s="47"/>
      <c r="C15" s="46"/>
      <c r="D15" s="51"/>
      <c r="I15" s="37"/>
      <c r="J15" s="52"/>
      <c r="K15" s="53"/>
    </row>
    <row r="16" spans="1:21" ht="15.75" customHeight="1">
      <c r="A16" s="394"/>
      <c r="B16" s="329" t="s">
        <v>28</v>
      </c>
      <c r="C16" s="296"/>
      <c r="D16" s="331" t="s">
        <v>29</v>
      </c>
      <c r="E16" s="254"/>
      <c r="I16" s="37"/>
    </row>
    <row r="17" spans="1:12" ht="14.25" customHeight="1" thickBot="1">
      <c r="A17" s="394"/>
      <c r="B17" s="47"/>
      <c r="C17" s="46"/>
      <c r="D17" s="51"/>
      <c r="G17" s="60"/>
      <c r="H17" s="60"/>
      <c r="I17" s="61"/>
    </row>
    <row r="18" spans="1:12" ht="3.75" customHeight="1">
      <c r="A18" s="394"/>
      <c r="B18" s="401"/>
      <c r="C18" s="402"/>
      <c r="D18" s="402"/>
      <c r="E18" s="256"/>
      <c r="F18" s="256"/>
      <c r="G18" s="43"/>
      <c r="H18" s="43"/>
      <c r="I18" s="44"/>
    </row>
    <row r="19" spans="1:12" ht="15.75" customHeight="1">
      <c r="A19" s="394"/>
      <c r="B19" s="330" t="s">
        <v>30</v>
      </c>
      <c r="C19" s="270" t="str">
        <f>IF(OR(C14="",C16=""),"",IF('QUADRO DE CARGAS'!H105=0," ",CONCATENATE(ROUND('QUADRO DE CARGAS'!H105,2)," kVA")))</f>
        <v/>
      </c>
      <c r="D19" s="291" t="str">
        <f>IF(OR(C14="",C16=""),"",IF('QUADRO DE CARGAS'!F105=0," ",CONCATENATE(ROUND('QUADRO DE CARGAS'!F105,2)," kW")))</f>
        <v/>
      </c>
      <c r="E19" s="286"/>
      <c r="F19" s="403" t="s">
        <v>31</v>
      </c>
      <c r="G19" s="403"/>
      <c r="H19" s="403"/>
      <c r="I19" s="404"/>
    </row>
    <row r="20" spans="1:12" ht="13.5" customHeight="1">
      <c r="A20" s="394"/>
      <c r="B20" s="259"/>
      <c r="C20" s="261"/>
      <c r="D20" s="289"/>
      <c r="E20" s="286"/>
      <c r="F20" s="403"/>
      <c r="G20" s="403"/>
      <c r="H20" s="403"/>
      <c r="I20" s="404"/>
    </row>
    <row r="21" spans="1:12" ht="15" customHeight="1">
      <c r="A21" s="394"/>
      <c r="B21" s="330" t="s">
        <v>32</v>
      </c>
      <c r="C21" s="260" t="str">
        <f>IF(C19="","",IF('QUADRO DE CARGAS'!K105=0," ",CONCATENATE(ROUND('QUADRO DE CARGAS'!K105,2)," kVA")))</f>
        <v/>
      </c>
      <c r="D21" s="261" t="str">
        <f>IF(C19="","",IF('QUADRO DE CARGAS'!J105=0," ",CONCATENATE(ROUND('QUADRO DE CARGAS'!J105,2)," kW")))</f>
        <v/>
      </c>
      <c r="E21" s="286"/>
      <c r="F21" s="403"/>
      <c r="G21" s="403"/>
      <c r="H21" s="403"/>
      <c r="I21" s="404"/>
    </row>
    <row r="22" spans="1:12" ht="15.75" hidden="1" customHeight="1">
      <c r="A22" s="394"/>
      <c r="B22" s="54"/>
      <c r="C22" s="45"/>
      <c r="D22" s="45"/>
      <c r="E22" s="45"/>
      <c r="F22" s="45"/>
      <c r="G22" s="45"/>
      <c r="H22" s="45"/>
      <c r="I22" s="55"/>
      <c r="K22" s="53"/>
    </row>
    <row r="23" spans="1:12" ht="15.75" hidden="1" customHeight="1">
      <c r="A23" s="394"/>
      <c r="B23" s="56" t="s">
        <v>33</v>
      </c>
      <c r="C23" s="398" t="s">
        <v>34</v>
      </c>
      <c r="D23" s="399"/>
      <c r="E23" s="58"/>
      <c r="F23" s="58"/>
      <c r="I23" s="37"/>
      <c r="J23" s="57"/>
    </row>
    <row r="24" spans="1:12" ht="7.5" customHeight="1" thickBot="1">
      <c r="A24" s="395"/>
      <c r="B24" s="59"/>
      <c r="C24" s="400"/>
      <c r="D24" s="400"/>
      <c r="E24" s="400"/>
      <c r="F24" s="400"/>
      <c r="G24" s="400"/>
      <c r="H24" s="60"/>
      <c r="I24" s="61"/>
      <c r="J24" s="48"/>
    </row>
    <row r="25" spans="1:12" ht="19.5" customHeight="1">
      <c r="A25" s="357" t="s">
        <v>35</v>
      </c>
      <c r="B25" s="321" t="s">
        <v>36</v>
      </c>
      <c r="C25" s="325"/>
      <c r="D25" s="325"/>
      <c r="E25" s="325"/>
      <c r="F25" s="325"/>
      <c r="G25" s="325"/>
      <c r="H25" s="325"/>
      <c r="I25" s="326"/>
    </row>
    <row r="26" spans="1:12" ht="29.25" customHeight="1">
      <c r="A26" s="358"/>
      <c r="B26" s="47"/>
      <c r="C26" s="63"/>
      <c r="D26" s="63"/>
      <c r="E26" s="63"/>
      <c r="F26" s="63"/>
      <c r="G26" s="63"/>
      <c r="H26" s="63"/>
      <c r="I26" s="62"/>
      <c r="K26" s="48"/>
      <c r="L26" s="48"/>
    </row>
    <row r="27" spans="1:12" ht="23.25" customHeight="1">
      <c r="A27" s="358"/>
      <c r="B27" s="64" t="s">
        <v>37</v>
      </c>
      <c r="C27" s="65" t="str">
        <f>IF(OR(C14="",C16=""),"",IF('QUADRO DE CARGAS'!F108=0," ",'QUADRO DE CARGAS'!F108))</f>
        <v/>
      </c>
      <c r="D27" s="63"/>
      <c r="E27" s="63"/>
      <c r="F27" s="45"/>
      <c r="G27" s="63"/>
      <c r="H27" s="63"/>
      <c r="I27" s="62"/>
    </row>
    <row r="28" spans="1:12" ht="23.25" customHeight="1">
      <c r="A28" s="358"/>
      <c r="B28" s="64" t="s">
        <v>38</v>
      </c>
      <c r="C28" s="65">
        <f>IF(C19=" "," ",IF('QUADRO DE CARGAS'!F107=0," ",'QUADRO DE CARGAS'!F107))</f>
        <v>0.92</v>
      </c>
      <c r="I28" s="37"/>
    </row>
    <row r="29" spans="1:12" ht="15.75">
      <c r="A29" s="358"/>
      <c r="B29" s="34"/>
      <c r="C29" s="67"/>
      <c r="I29" s="37"/>
    </row>
    <row r="30" spans="1:12" ht="19.5" customHeight="1">
      <c r="A30" s="358"/>
      <c r="B30" s="360" t="s">
        <v>39</v>
      </c>
      <c r="C30" s="361"/>
      <c r="D30" s="361"/>
      <c r="E30" s="361"/>
      <c r="F30" s="361"/>
      <c r="G30" s="68"/>
      <c r="I30" s="37"/>
      <c r="J30" s="48"/>
    </row>
    <row r="31" spans="1:12" ht="19.5" customHeight="1">
      <c r="A31" s="358"/>
      <c r="B31" s="69"/>
      <c r="C31" s="65" t="str">
        <f>IF(OR(C14="",C16=""),"",IF(C19=" "," ",CÁLCULOS!C26))</f>
        <v/>
      </c>
      <c r="D31" s="66" t="s">
        <v>40</v>
      </c>
      <c r="F31" s="48"/>
      <c r="G31" s="68"/>
      <c r="I31" s="37"/>
      <c r="J31" s="48"/>
    </row>
    <row r="32" spans="1:12" ht="19.5" customHeight="1" thickBot="1">
      <c r="A32" s="359"/>
      <c r="B32" s="69"/>
      <c r="C32" s="65"/>
      <c r="D32" s="66"/>
      <c r="F32" s="48"/>
      <c r="G32" s="68"/>
      <c r="I32" s="37"/>
      <c r="J32" s="48"/>
    </row>
    <row r="33" spans="1:43 16383:16384" ht="18" customHeight="1">
      <c r="A33" s="374" t="s">
        <v>321</v>
      </c>
      <c r="B33" s="321" t="s">
        <v>42</v>
      </c>
      <c r="C33" s="325"/>
      <c r="D33" s="325"/>
      <c r="E33" s="325"/>
      <c r="F33" s="325"/>
      <c r="G33" s="325"/>
      <c r="H33" s="325"/>
      <c r="I33" s="327"/>
      <c r="K33" s="48"/>
    </row>
    <row r="34" spans="1:43 16383:16384" ht="15" customHeight="1">
      <c r="A34" s="375"/>
      <c r="B34" s="64"/>
      <c r="C34" s="257" t="str">
        <f>IF(CÁLCULOS!C13=0," ",CONCATENATE(ROUND(CÁLCULOS!C13,2)," kVA"))</f>
        <v xml:space="preserve"> </v>
      </c>
      <c r="D34" s="70"/>
      <c r="I34" s="71"/>
    </row>
    <row r="35" spans="1:43 16383:16384" ht="15.75">
      <c r="A35" s="375"/>
      <c r="B35" s="72">
        <f>IF(CÁLCULOS!C13&gt;330,"Consultar NT.31.002.06",CÁLCULOS!C13)</f>
        <v>0</v>
      </c>
      <c r="I35" s="37"/>
      <c r="K35" s="48"/>
    </row>
    <row r="36" spans="1:43 16383:16384" ht="15" customHeight="1">
      <c r="A36" s="375"/>
      <c r="B36" s="366" t="s">
        <v>43</v>
      </c>
      <c r="C36" s="365" t="str">
        <f>IF(OR(C14="",C16=""),"",IF(B35="Consultar NT.31.002.06","SE Abrigada NT.00002.EQTL",IF('QUADRO DE CARGAS'!K105=0," ",IF('QUADRO DE CARGAS'!K105&lt;60,CÁLCULOS!D15,CONCATENATE(CÁLCULOS!D15," kVA")))))</f>
        <v/>
      </c>
      <c r="D36" s="365"/>
      <c r="G36" s="73" t="s">
        <v>44</v>
      </c>
      <c r="H36" s="74"/>
      <c r="I36" s="75"/>
      <c r="J36" s="73"/>
      <c r="K36" s="48"/>
    </row>
    <row r="37" spans="1:43 16383:16384" ht="15.75">
      <c r="A37" s="375"/>
      <c r="B37" s="366"/>
      <c r="C37" s="365"/>
      <c r="D37" s="365"/>
      <c r="E37" s="76"/>
      <c r="G37" s="251" t="str">
        <f>IF(OR(C14="",C16=""),"",IF(B35=0," ",IF(B35="Consultar NT.31.002.06"," ",IFERROR(VLOOKUP(CÁLCULOS!D15,GERAL!A12:D16,4,TRUE),"11"))))</f>
        <v/>
      </c>
      <c r="H37" s="77"/>
      <c r="I37" s="78"/>
      <c r="J37" s="79"/>
    </row>
    <row r="38" spans="1:43 16383:16384" ht="12.75" customHeight="1">
      <c r="A38" s="375"/>
      <c r="B38" s="34"/>
      <c r="I38" s="37"/>
      <c r="K38" s="48"/>
    </row>
    <row r="39" spans="1:43 16383:16384" ht="15" customHeight="1">
      <c r="A39" s="375"/>
      <c r="B39" s="34"/>
      <c r="G39" s="371" t="s">
        <v>45</v>
      </c>
      <c r="H39" s="74"/>
      <c r="I39" s="75"/>
    </row>
    <row r="40" spans="1:43 16383:16384" ht="16.5" customHeight="1">
      <c r="A40" s="375"/>
      <c r="B40" s="372" t="s">
        <v>46</v>
      </c>
      <c r="C40" s="373"/>
      <c r="D40" s="373"/>
      <c r="E40" s="405" t="str">
        <f>IF(OR(C14="",C16=""),"",IFERROR(IF(G37=" "," ",CONCATENATE(VLOOKUP(CÁLCULOS!D15,GERAL!A21:B29,2,FALSE)," kVAr"))," "))</f>
        <v/>
      </c>
      <c r="G40" s="371"/>
      <c r="H40" s="77"/>
      <c r="I40" s="80" t="s">
        <v>47</v>
      </c>
    </row>
    <row r="41" spans="1:43 16383:16384" ht="12.75" customHeight="1">
      <c r="A41" s="375"/>
      <c r="B41" s="372"/>
      <c r="C41" s="373"/>
      <c r="D41" s="373"/>
      <c r="E41" s="405"/>
      <c r="G41" s="251" t="str">
        <f>IF(OR(C14="",C16=""),"",IF(G37=" "," ",IFERROR(VLOOKUP(CÁLCULOS!D15,GERAL!A12:D16,3,TRUE),300)))</f>
        <v/>
      </c>
      <c r="I41" s="37"/>
    </row>
    <row r="42" spans="1:43 16383:16384" ht="15.75">
      <c r="A42" s="375"/>
      <c r="B42" s="81"/>
      <c r="C42" s="82"/>
      <c r="D42" s="82"/>
      <c r="E42" s="83"/>
      <c r="F42" s="84"/>
      <c r="I42" s="37"/>
    </row>
    <row r="43" spans="1:43 16383:16384" ht="15" customHeight="1">
      <c r="A43" s="375"/>
      <c r="B43" s="85"/>
      <c r="C43" s="86"/>
      <c r="D43" s="86"/>
      <c r="E43" s="86"/>
      <c r="F43" s="86"/>
      <c r="G43" s="86"/>
      <c r="H43" s="86"/>
      <c r="I43" s="87"/>
    </row>
    <row r="44" spans="1:43 16383:16384" ht="12.75" customHeight="1">
      <c r="A44" s="375"/>
      <c r="B44" s="377" t="s">
        <v>48</v>
      </c>
      <c r="C44" s="378"/>
      <c r="D44" s="378"/>
      <c r="E44" s="378"/>
      <c r="F44" s="378"/>
      <c r="G44" s="378"/>
      <c r="H44" s="86"/>
      <c r="I44" s="87"/>
    </row>
    <row r="45" spans="1:43 16383:16384" ht="12.75" customHeight="1">
      <c r="A45" s="375"/>
      <c r="B45" s="377"/>
      <c r="C45" s="378"/>
      <c r="D45" s="378"/>
      <c r="E45" s="378"/>
      <c r="F45" s="378"/>
      <c r="G45" s="378"/>
      <c r="H45" s="86"/>
      <c r="I45" s="87"/>
    </row>
    <row r="46" spans="1:43 16383:16384" ht="13.5" hidden="1" customHeight="1">
      <c r="A46" s="375"/>
      <c r="B46" s="88"/>
      <c r="C46" s="89"/>
      <c r="D46" s="89"/>
      <c r="E46" s="89"/>
      <c r="F46" s="89"/>
      <c r="G46" s="89"/>
      <c r="H46" s="86"/>
      <c r="I46" s="87"/>
    </row>
    <row r="47" spans="1:43 16383:16384" ht="25.5" customHeight="1" thickBot="1">
      <c r="A47" s="376"/>
      <c r="B47" s="90"/>
      <c r="C47" s="91"/>
      <c r="D47" s="91"/>
      <c r="E47" s="91"/>
      <c r="F47" s="91"/>
      <c r="G47" s="91"/>
      <c r="H47" s="60"/>
      <c r="I47" s="61"/>
    </row>
    <row r="48" spans="1:43 16383:16384" s="319" customFormat="1" ht="22.5" customHeight="1">
      <c r="A48" s="367" t="s">
        <v>319</v>
      </c>
      <c r="B48" s="321" t="s">
        <v>49</v>
      </c>
      <c r="C48" s="325"/>
      <c r="D48" s="325"/>
      <c r="E48" s="325"/>
      <c r="F48" s="325"/>
      <c r="G48" s="325"/>
      <c r="H48" s="325"/>
      <c r="I48" s="327"/>
      <c r="J48" s="316"/>
      <c r="K48" s="317"/>
      <c r="L48" s="318"/>
      <c r="AI48" s="318"/>
      <c r="AJ48" s="318"/>
      <c r="AK48" s="318"/>
      <c r="AL48" s="318"/>
      <c r="AM48" s="318"/>
      <c r="AN48" s="318"/>
      <c r="AO48" s="318"/>
      <c r="AP48" s="318"/>
      <c r="AQ48" s="316"/>
      <c r="XFC48" s="35"/>
      <c r="XFD48" s="320"/>
    </row>
    <row r="49" spans="1:43 16383:16384">
      <c r="A49" s="368"/>
      <c r="B49" s="369"/>
      <c r="C49" s="370"/>
      <c r="D49" s="370"/>
      <c r="E49" s="370"/>
      <c r="I49" s="37"/>
      <c r="XFC49" s="319"/>
    </row>
    <row r="50" spans="1:43 16383:16384">
      <c r="A50" s="368"/>
      <c r="B50" s="34"/>
      <c r="I50" s="37"/>
    </row>
    <row r="51" spans="1:43 16383:16384" ht="15.75" customHeight="1">
      <c r="A51" s="368"/>
      <c r="B51" s="363" t="s">
        <v>50</v>
      </c>
      <c r="C51" s="364"/>
      <c r="D51" s="251" t="b">
        <f>IF(G37=" "," ",IF(C14=13.8,VLOOKUP(CÁLCULOS!D15,'TAB 02'!A11:F24,2,0),IF(C14=34.5,VLOOKUP(CÁLCULOS!D15,'TAB 02'!A11:F24,3,0),IF(C14=23.1,VLOOKUP(CÁLCULOS!D15,'TAB 02'!A11:F24,6,0)))))</f>
        <v>0</v>
      </c>
      <c r="E51" s="92"/>
      <c r="G51" s="93"/>
      <c r="H51" s="93"/>
      <c r="I51" s="94"/>
    </row>
    <row r="52" spans="1:43 16383:16384" ht="15.75" customHeight="1">
      <c r="A52" s="368"/>
      <c r="B52" s="95"/>
      <c r="C52" s="96"/>
      <c r="D52" s="96"/>
      <c r="E52" s="96"/>
      <c r="F52" s="50"/>
      <c r="I52" s="37"/>
    </row>
    <row r="53" spans="1:43 16383:16384" ht="15.75">
      <c r="A53" s="368"/>
      <c r="B53" s="363" t="s">
        <v>51</v>
      </c>
      <c r="C53" s="364"/>
      <c r="D53" s="251" t="b">
        <f>IF(G37=" "," ",IF(C14=13.8,VLOOKUP(CÁLCULOS!D15,'TAB 02'!A11:E24,4,0),IF(C14=34.5,VLOOKUP(CÁLCULOS!D15,'TAB 02'!A11:E24,5,0),IF(C14=23.1,VLOOKUP(CÁLCULOS!D15,'TAB 02'!A11:G24,7,0)))))</f>
        <v>0</v>
      </c>
      <c r="E53" s="92"/>
      <c r="F53" s="97"/>
      <c r="G53" s="93"/>
      <c r="H53" s="93"/>
      <c r="I53" s="98"/>
    </row>
    <row r="54" spans="1:43 16383:16384">
      <c r="A54" s="368"/>
      <c r="B54" s="99"/>
      <c r="C54" s="92"/>
      <c r="D54" s="92"/>
      <c r="E54" s="92"/>
      <c r="F54" s="100"/>
      <c r="G54" s="93"/>
      <c r="H54" s="93"/>
      <c r="I54" s="98"/>
    </row>
    <row r="55" spans="1:43 16383:16384" ht="37.5" customHeight="1" thickBot="1">
      <c r="A55" s="368"/>
      <c r="B55" s="380" t="s">
        <v>52</v>
      </c>
      <c r="C55" s="381"/>
      <c r="D55" s="381"/>
      <c r="E55" s="381"/>
      <c r="F55" s="381"/>
      <c r="G55" s="381"/>
      <c r="H55" s="101"/>
      <c r="I55" s="102"/>
    </row>
    <row r="56" spans="1:43 16383:16384" ht="15" hidden="1" customHeight="1" thickBot="1">
      <c r="A56" s="368"/>
      <c r="B56" s="34"/>
      <c r="I56" s="37"/>
    </row>
    <row r="57" spans="1:43 16383:16384" s="319" customFormat="1" ht="20.25" customHeight="1">
      <c r="A57" s="407" t="s">
        <v>320</v>
      </c>
      <c r="B57" s="321" t="s">
        <v>53</v>
      </c>
      <c r="C57" s="321"/>
      <c r="D57" s="321"/>
      <c r="E57" s="321"/>
      <c r="F57" s="332"/>
      <c r="G57" s="362"/>
      <c r="H57" s="362"/>
      <c r="I57" s="328"/>
      <c r="J57" s="316"/>
      <c r="K57" s="317"/>
      <c r="L57" s="318"/>
      <c r="AI57" s="318"/>
      <c r="AJ57" s="318"/>
      <c r="AK57" s="318"/>
      <c r="AL57" s="318"/>
      <c r="AM57" s="318"/>
      <c r="AN57" s="318"/>
      <c r="AO57" s="318"/>
      <c r="AP57" s="318"/>
      <c r="AQ57" s="316"/>
      <c r="XFC57" s="35"/>
      <c r="XFD57" s="320"/>
    </row>
    <row r="58" spans="1:43 16383:16384" ht="16.5" customHeight="1">
      <c r="A58" s="408"/>
      <c r="B58" s="34"/>
      <c r="I58" s="37"/>
      <c r="XFC58" s="319"/>
    </row>
    <row r="59" spans="1:43 16383:16384">
      <c r="A59" s="408"/>
      <c r="B59" s="103" t="s">
        <v>54</v>
      </c>
      <c r="C59" s="251" t="str">
        <f>IF(OR(C14="",C16=""),"",IFERROR(IF(C19=" "," ",IF($C$16="380/220",VLOOKUP(CÁLCULOS!D15,'TAB 03'!$A$16:$M$22,3,TRUE),VLOOKUP(CÁLCULOS!D15,'TAB 03'!$P$15:$AB$21,3,TRUE)))," "))</f>
        <v/>
      </c>
      <c r="D59" s="83" t="s">
        <v>55</v>
      </c>
      <c r="G59" s="48"/>
      <c r="I59" s="37"/>
      <c r="K59" s="48"/>
    </row>
    <row r="60" spans="1:43 16383:16384">
      <c r="A60" s="408"/>
      <c r="B60" s="104"/>
      <c r="C60" s="251"/>
      <c r="G60" s="48"/>
      <c r="I60" s="37"/>
      <c r="K60" s="48"/>
    </row>
    <row r="61" spans="1:43 16383:16384">
      <c r="A61" s="408"/>
      <c r="B61" s="103" t="s">
        <v>56</v>
      </c>
      <c r="C61" s="252" t="str">
        <f>IF(OR(C14="",C16=""),"",IFERROR(IF(C19=" "," ",IF(C16="380/220",VLOOKUP(CÁLCULOS!D15,'TAB 03'!A16:M22,5,TRUE),VLOOKUP(CÁLCULOS!D15,'TAB 03'!P15:AB21,5,TRUE)))," "))</f>
        <v/>
      </c>
      <c r="D61" s="83" t="s">
        <v>55</v>
      </c>
      <c r="G61" s="48"/>
      <c r="I61" s="37"/>
      <c r="K61" s="48"/>
    </row>
    <row r="62" spans="1:43 16383:16384">
      <c r="A62" s="408"/>
      <c r="B62" s="34"/>
      <c r="C62" s="251"/>
      <c r="G62" s="48"/>
      <c r="I62" s="37"/>
      <c r="K62" s="48"/>
    </row>
    <row r="63" spans="1:43 16383:16384" ht="21.75" customHeight="1">
      <c r="A63" s="408"/>
      <c r="B63" s="363" t="s">
        <v>57</v>
      </c>
      <c r="C63" s="364"/>
      <c r="D63" s="364"/>
      <c r="E63" s="379" t="str">
        <f>IF(OR(C14="",C16=""),"",IFERROR(IF(C19=" "," ",IF($C$16="380/220",VLOOKUP(CÁLCULOS!D15,'TAB 03'!$A$16:$M$22,7,TRUE),VLOOKUP(CÁLCULOS!D15,'TAB 03'!$P$15:$AB$21,7,TRUE)))," "))</f>
        <v/>
      </c>
      <c r="F63" s="379"/>
      <c r="G63" s="379"/>
      <c r="H63" s="379"/>
      <c r="I63" s="37"/>
    </row>
    <row r="64" spans="1:43 16383:16384" ht="29.25" customHeight="1">
      <c r="A64" s="408"/>
      <c r="B64" s="366" t="s">
        <v>58</v>
      </c>
      <c r="C64" s="410"/>
      <c r="D64" s="443" t="str">
        <f>IF(OR(C14="",C16=""),"",IFERROR(IF(C19=" "," ",IF($C$16="380/220",VLOOKUP(CÁLCULOS!D15,'TAB 03'!$A$16:$M$22,9,TRUE),VLOOKUP(CÁLCULOS!D15,'TAB 03'!$P$15:$AB$21,9,TRUE)))," "))</f>
        <v/>
      </c>
      <c r="E64" s="443"/>
      <c r="I64" s="37"/>
    </row>
    <row r="65" spans="1:12" ht="6" hidden="1" customHeight="1">
      <c r="A65" s="408"/>
      <c r="B65" s="34"/>
      <c r="I65" s="37"/>
    </row>
    <row r="66" spans="1:12">
      <c r="A66" s="408"/>
      <c r="B66" s="34"/>
      <c r="I66" s="37"/>
    </row>
    <row r="67" spans="1:12">
      <c r="A67" s="408"/>
      <c r="B67" s="34"/>
      <c r="E67" s="252"/>
      <c r="F67" s="31"/>
      <c r="G67" s="105"/>
      <c r="H67" s="50"/>
      <c r="I67" s="106"/>
      <c r="K67" s="35"/>
      <c r="L67" s="35"/>
    </row>
    <row r="68" spans="1:12">
      <c r="A68" s="408"/>
      <c r="B68" s="444" t="s">
        <v>59</v>
      </c>
      <c r="C68" s="405"/>
      <c r="D68" s="405"/>
      <c r="I68" s="37"/>
    </row>
    <row r="69" spans="1:12" ht="22.5" customHeight="1">
      <c r="A69" s="408"/>
      <c r="B69" s="250" t="s">
        <v>60</v>
      </c>
      <c r="C69" s="107" t="s">
        <v>61</v>
      </c>
      <c r="D69" s="107"/>
      <c r="I69" s="37"/>
    </row>
    <row r="70" spans="1:12" ht="22.5" customHeight="1">
      <c r="A70" s="408"/>
      <c r="B70" s="108" t="str">
        <f>IF(OR(C14="",C16=""),"",IFERROR(IF(C19=" "," ",IF($C$16="380/220",VLOOKUP(CÁLCULOS!D15,'TAB 03'!$A$16:$M$22,11,TRUE),VLOOKUP(CÁLCULOS!D15,'TAB 03'!$P$15:$AB$21,11,TRUE)))," "))</f>
        <v/>
      </c>
      <c r="C70" s="252" t="str">
        <f>IF(OR(C14="",C16=""),"",IFERROR(IF(C19=" "," ",IF($C$16="380/220",VLOOKUP(CÁLCULOS!D15,'TAB 03'!$A$17:$M$22,13,0),VLOOKUP(CÁLCULOS!D15,'TAB 03'!$P$15:$AB$21,13,0)))," "))</f>
        <v/>
      </c>
      <c r="D70" s="83"/>
      <c r="I70" s="37"/>
    </row>
    <row r="71" spans="1:12" ht="13.5" thickBot="1">
      <c r="A71" s="409"/>
      <c r="B71" s="253"/>
      <c r="C71" s="60"/>
      <c r="D71" s="60"/>
      <c r="E71" s="60"/>
      <c r="F71" s="60"/>
      <c r="G71" s="60"/>
      <c r="H71" s="60"/>
      <c r="I71" s="61"/>
    </row>
    <row r="72" spans="1:12" ht="18" hidden="1">
      <c r="A72" s="412" t="s">
        <v>62</v>
      </c>
      <c r="B72" s="32" t="s">
        <v>63</v>
      </c>
      <c r="C72" s="43"/>
      <c r="D72" s="43"/>
      <c r="E72" s="43"/>
      <c r="F72" s="43"/>
      <c r="G72" s="43"/>
      <c r="H72" s="43"/>
      <c r="I72" s="44"/>
    </row>
    <row r="73" spans="1:12" hidden="1">
      <c r="A73" s="412"/>
      <c r="B73" s="34"/>
      <c r="F73" s="109"/>
      <c r="I73" s="37"/>
    </row>
    <row r="74" spans="1:12" hidden="1">
      <c r="A74" s="412"/>
      <c r="B74" s="34"/>
      <c r="F74" s="109"/>
      <c r="I74" s="37"/>
    </row>
    <row r="75" spans="1:12" hidden="1">
      <c r="A75" s="412"/>
      <c r="B75" s="110" t="e">
        <f>VLOOKUP(#REF!,#REF!,2,FALSE)</f>
        <v>#REF!</v>
      </c>
      <c r="C75" s="111" t="e">
        <f>#REF!*4</f>
        <v>#REF!</v>
      </c>
      <c r="D75" s="112" t="s">
        <v>64</v>
      </c>
      <c r="I75" s="37"/>
      <c r="K75" s="113"/>
    </row>
    <row r="76" spans="1:12" hidden="1">
      <c r="A76" s="412"/>
      <c r="B76" s="110" t="s">
        <v>65</v>
      </c>
      <c r="C76" s="111" t="e">
        <f>#REF!</f>
        <v>#REF!</v>
      </c>
      <c r="D76" s="114" t="s">
        <v>66</v>
      </c>
      <c r="G76" s="115"/>
      <c r="I76" s="37"/>
    </row>
    <row r="77" spans="1:12" hidden="1">
      <c r="A77" s="412"/>
      <c r="B77" s="116" t="s">
        <v>67</v>
      </c>
      <c r="C77" s="117" t="e">
        <f>4*#REF!</f>
        <v>#REF!</v>
      </c>
      <c r="D77" s="118" t="s">
        <v>64</v>
      </c>
      <c r="G77" s="115"/>
      <c r="I77" s="37"/>
      <c r="K77" s="48"/>
    </row>
    <row r="78" spans="1:12" hidden="1">
      <c r="A78" s="412"/>
      <c r="B78" s="34"/>
      <c r="C78" s="119"/>
      <c r="F78" s="48"/>
      <c r="H78" s="120" t="e">
        <f>VLOOKUP(C81,#REF!,2,TRUE)</f>
        <v>#REF!</v>
      </c>
      <c r="I78" s="37"/>
    </row>
    <row r="79" spans="1:12" hidden="1">
      <c r="A79" s="412"/>
      <c r="B79" s="34"/>
      <c r="E79" s="445"/>
      <c r="I79" s="37"/>
    </row>
    <row r="80" spans="1:12" hidden="1">
      <c r="A80" s="412"/>
      <c r="B80" s="34"/>
      <c r="E80" s="445"/>
      <c r="I80" s="37"/>
    </row>
    <row r="81" spans="1:10" hidden="1">
      <c r="A81" s="412"/>
      <c r="B81" s="34"/>
      <c r="C81" s="119" t="e">
        <f>SQRT(((G67*G67)*4*#REF!)/0.4)</f>
        <v>#REF!</v>
      </c>
      <c r="D81" s="35" t="s">
        <v>68</v>
      </c>
      <c r="E81" s="445"/>
      <c r="I81" s="37"/>
    </row>
    <row r="82" spans="1:10" hidden="1">
      <c r="A82" s="412"/>
      <c r="B82" s="34"/>
      <c r="C82" s="119"/>
      <c r="E82" s="445"/>
      <c r="I82" s="37"/>
    </row>
    <row r="83" spans="1:10" hidden="1">
      <c r="A83" s="412"/>
      <c r="B83" s="34"/>
      <c r="C83" s="119"/>
      <c r="E83" s="121"/>
      <c r="I83" s="37"/>
    </row>
    <row r="84" spans="1:10" ht="15.75" hidden="1">
      <c r="A84" s="412"/>
      <c r="B84" s="122" t="s">
        <v>69</v>
      </c>
      <c r="C84" s="35" t="s">
        <v>70</v>
      </c>
      <c r="I84" s="37"/>
    </row>
    <row r="85" spans="1:10" ht="15.75" hidden="1">
      <c r="A85" s="412"/>
      <c r="B85" s="122" t="s">
        <v>71</v>
      </c>
      <c r="C85" s="35" t="s">
        <v>72</v>
      </c>
      <c r="I85" s="37"/>
    </row>
    <row r="86" spans="1:10" hidden="1">
      <c r="A86" s="412"/>
      <c r="B86" s="123"/>
      <c r="I86" s="37"/>
    </row>
    <row r="87" spans="1:10" ht="19.5" hidden="1">
      <c r="A87" s="412"/>
      <c r="B87" s="34" t="s">
        <v>73</v>
      </c>
      <c r="C87" s="124" t="e">
        <f>VLOOKUP(C68,#REF!,5,FALSE)</f>
        <v>#REF!</v>
      </c>
      <c r="G87" s="125" t="e">
        <f>VLOOKUP($H$78,#REF!,2,FALSE)</f>
        <v>#REF!</v>
      </c>
      <c r="I87" s="126" t="e">
        <f>VLOOKUP($H$78,#REF!,2,FALSE)</f>
        <v>#REF!</v>
      </c>
    </row>
    <row r="88" spans="1:10" hidden="1">
      <c r="A88" s="412"/>
      <c r="B88" s="34"/>
      <c r="I88" s="37"/>
    </row>
    <row r="89" spans="1:10" ht="20.25" hidden="1" customHeight="1">
      <c r="A89" s="412"/>
      <c r="B89" s="104" t="e">
        <f>IF(C89&gt;1,"SERÃO INSTALADOS","SERÁ INSTALADO")</f>
        <v>#REF!</v>
      </c>
      <c r="C89" s="127" t="e">
        <f>VLOOKUP((#REF!/#REF!),#REF!,2,TRUE)</f>
        <v>#REF!</v>
      </c>
      <c r="D89" s="446" t="s">
        <v>73</v>
      </c>
      <c r="E89" s="446"/>
      <c r="F89" s="124" t="e">
        <f>VLOOKUP(C68,#REF!,5,FALSE)</f>
        <v>#REF!</v>
      </c>
      <c r="I89" s="37"/>
    </row>
    <row r="90" spans="1:10" ht="13.5" hidden="1" customHeight="1">
      <c r="A90" s="412"/>
      <c r="B90" s="447" t="str">
        <f>C23</f>
        <v>AÇO GALVANIZADO</v>
      </c>
      <c r="C90" s="423"/>
      <c r="D90" s="423"/>
      <c r="E90" s="423"/>
      <c r="F90" s="423"/>
      <c r="H90" s="120" t="e">
        <f>H78+G87+I87</f>
        <v>#REF!</v>
      </c>
      <c r="I90" s="37"/>
    </row>
    <row r="91" spans="1:10" ht="13.5" hidden="1" customHeight="1">
      <c r="A91" s="412"/>
      <c r="B91" s="447"/>
      <c r="C91" s="423"/>
      <c r="D91" s="423"/>
      <c r="E91" s="423"/>
      <c r="F91" s="423"/>
      <c r="H91" s="50"/>
      <c r="I91" s="37"/>
    </row>
    <row r="92" spans="1:10" hidden="1">
      <c r="A92" s="412"/>
      <c r="B92" s="34"/>
      <c r="H92" s="50"/>
      <c r="I92" s="37"/>
      <c r="J92" s="48"/>
    </row>
    <row r="93" spans="1:10" ht="13.5" hidden="1" thickBot="1">
      <c r="A93" s="413"/>
      <c r="B93" s="59"/>
      <c r="C93" s="60"/>
      <c r="D93" s="60"/>
      <c r="E93" s="60"/>
      <c r="F93" s="60"/>
      <c r="G93" s="60"/>
      <c r="H93" s="60"/>
      <c r="I93" s="61"/>
    </row>
    <row r="94" spans="1:10" ht="18" hidden="1">
      <c r="A94" s="411" t="s">
        <v>74</v>
      </c>
      <c r="B94" s="32" t="s">
        <v>75</v>
      </c>
      <c r="C94" s="43"/>
      <c r="D94" s="43"/>
      <c r="E94" s="43"/>
      <c r="F94" s="43"/>
      <c r="G94" s="43"/>
      <c r="H94" s="43"/>
      <c r="I94" s="44"/>
    </row>
    <row r="95" spans="1:10" ht="12.75" hidden="1" customHeight="1">
      <c r="A95" s="412"/>
      <c r="B95" s="128"/>
      <c r="C95" s="129"/>
      <c r="D95" s="129"/>
      <c r="E95" s="129"/>
      <c r="F95" s="129"/>
      <c r="G95" s="129"/>
      <c r="H95" s="129"/>
      <c r="I95" s="130"/>
    </row>
    <row r="96" spans="1:10" ht="12" hidden="1" customHeight="1">
      <c r="A96" s="412"/>
      <c r="B96" s="34"/>
      <c r="G96" s="129"/>
      <c r="H96" s="129"/>
      <c r="I96" s="94"/>
    </row>
    <row r="97" spans="1:43 16383:16384" ht="12" hidden="1" customHeight="1">
      <c r="A97" s="412"/>
      <c r="B97" s="131" t="s">
        <v>76</v>
      </c>
      <c r="C97" s="132" t="e">
        <f>IF(C16="380/220",C34/(SQRT(3)*0.38),C34/(SQRT(3)*0.22))</f>
        <v>#VALUE!</v>
      </c>
      <c r="D97" s="132" t="s">
        <v>55</v>
      </c>
      <c r="G97" s="129"/>
      <c r="H97" s="129"/>
      <c r="I97" s="94"/>
    </row>
    <row r="98" spans="1:43 16383:16384" ht="12" hidden="1" customHeight="1">
      <c r="A98" s="412"/>
      <c r="B98" s="34"/>
      <c r="G98" s="129"/>
      <c r="H98" s="129"/>
      <c r="I98" s="94"/>
    </row>
    <row r="99" spans="1:43 16383:16384" ht="12" hidden="1" customHeight="1">
      <c r="A99" s="412"/>
      <c r="B99" s="128"/>
      <c r="C99" s="129"/>
      <c r="D99" s="129"/>
      <c r="E99" s="129"/>
      <c r="F99" s="129"/>
      <c r="G99" s="129"/>
      <c r="H99" s="129"/>
      <c r="I99" s="94"/>
    </row>
    <row r="100" spans="1:43 16383:16384" hidden="1">
      <c r="A100" s="412"/>
      <c r="B100" s="34"/>
      <c r="I100" s="37"/>
    </row>
    <row r="101" spans="1:43 16383:16384" hidden="1">
      <c r="A101" s="412"/>
      <c r="B101" s="34" t="s">
        <v>77</v>
      </c>
      <c r="I101" s="37"/>
    </row>
    <row r="102" spans="1:43 16383:16384" hidden="1">
      <c r="A102" s="412"/>
      <c r="B102" s="34"/>
      <c r="I102" s="37"/>
    </row>
    <row r="103" spans="1:43 16383:16384" ht="2.25" hidden="1" customHeight="1">
      <c r="A103" s="412"/>
      <c r="B103" s="34"/>
      <c r="I103" s="37"/>
    </row>
    <row r="104" spans="1:43 16383:16384" ht="23.25" hidden="1" customHeight="1">
      <c r="A104" s="412"/>
      <c r="B104" s="123" t="s">
        <v>78</v>
      </c>
      <c r="D104" s="133">
        <v>3</v>
      </c>
      <c r="E104" s="83" t="e">
        <f>IF(C16="380/220",VLOOKUP(C97,'[1]TAB 03'!A16:M23,5,TRUE),VLOOKUP(C97,'[1]TAB 03'!P15:AB21,5,TRUE))</f>
        <v>#VALUE!</v>
      </c>
      <c r="F104" s="134" t="s">
        <v>55</v>
      </c>
      <c r="I104" s="37"/>
    </row>
    <row r="105" spans="1:43 16383:16384" ht="17.25" hidden="1" customHeight="1">
      <c r="A105" s="412"/>
      <c r="B105" s="414" t="s">
        <v>79</v>
      </c>
      <c r="C105" s="415"/>
      <c r="D105" s="415"/>
      <c r="E105" s="415"/>
      <c r="F105" s="415"/>
      <c r="G105" s="415"/>
      <c r="H105" s="415"/>
      <c r="I105" s="416"/>
    </row>
    <row r="106" spans="1:43 16383:16384" ht="2.25" hidden="1" customHeight="1" thickBot="1">
      <c r="A106" s="413"/>
      <c r="B106" s="417"/>
      <c r="C106" s="418"/>
      <c r="D106" s="418"/>
      <c r="E106" s="418"/>
      <c r="F106" s="418"/>
      <c r="G106" s="418"/>
      <c r="H106" s="418"/>
      <c r="I106" s="419"/>
    </row>
    <row r="107" spans="1:43 16383:16384" ht="3" hidden="1" customHeight="1">
      <c r="A107" s="249"/>
      <c r="B107" s="34"/>
      <c r="I107" s="37"/>
    </row>
    <row r="108" spans="1:43 16383:16384" ht="1.5" hidden="1" customHeight="1" thickBot="1">
      <c r="A108" s="249"/>
      <c r="B108" s="135"/>
      <c r="C108" s="136"/>
      <c r="D108" s="136"/>
      <c r="E108" s="136"/>
      <c r="F108" s="136"/>
      <c r="G108" s="136"/>
      <c r="H108" s="136"/>
      <c r="I108" s="137"/>
    </row>
    <row r="109" spans="1:43 16383:16384" s="319" customFormat="1" ht="20.25" customHeight="1">
      <c r="A109" s="420" t="s">
        <v>80</v>
      </c>
      <c r="B109" s="321" t="s">
        <v>81</v>
      </c>
      <c r="C109" s="325"/>
      <c r="D109" s="325"/>
      <c r="E109" s="325"/>
      <c r="F109" s="325"/>
      <c r="G109" s="325"/>
      <c r="H109" s="325"/>
      <c r="I109" s="327"/>
      <c r="J109" s="316"/>
      <c r="K109" s="317"/>
      <c r="L109" s="318"/>
      <c r="AI109" s="318"/>
      <c r="AJ109" s="318"/>
      <c r="AK109" s="318"/>
      <c r="AL109" s="318"/>
      <c r="AM109" s="318"/>
      <c r="AN109" s="318"/>
      <c r="AO109" s="318"/>
      <c r="AP109" s="318"/>
      <c r="AQ109" s="316"/>
      <c r="XFC109" s="35"/>
      <c r="XFD109" s="320"/>
    </row>
    <row r="110" spans="1:43 16383:16384" ht="7.5" customHeight="1">
      <c r="A110" s="421"/>
      <c r="B110" s="34"/>
      <c r="I110" s="37"/>
      <c r="XFC110" s="319"/>
    </row>
    <row r="111" spans="1:43 16383:16384" hidden="1">
      <c r="A111" s="421"/>
      <c r="B111" s="34"/>
      <c r="I111" s="37"/>
    </row>
    <row r="112" spans="1:43 16383:16384" hidden="1">
      <c r="A112" s="421"/>
      <c r="B112" s="34"/>
      <c r="I112" s="37"/>
    </row>
    <row r="113" spans="1:9" hidden="1">
      <c r="A113" s="421"/>
      <c r="B113" s="34"/>
      <c r="I113" s="37"/>
    </row>
    <row r="114" spans="1:9" hidden="1">
      <c r="A114" s="421"/>
      <c r="B114" s="34"/>
      <c r="C114" s="119"/>
      <c r="I114" s="37"/>
    </row>
    <row r="115" spans="1:9" ht="15" customHeight="1">
      <c r="A115" s="421"/>
      <c r="C115" s="252" t="s">
        <v>82</v>
      </c>
      <c r="E115" s="252" t="s">
        <v>83</v>
      </c>
      <c r="I115" s="37"/>
    </row>
    <row r="116" spans="1:9">
      <c r="A116" s="421"/>
      <c r="C116" s="429" t="str">
        <f>IF(C14=13.8,"12 kV   10 kA",IF(C14=34.5,IF(C16="380/220","30 kV   10 kA","30 kV   10 kA"),"21kV 10kA "))</f>
        <v xml:space="preserve">21kV 10kA </v>
      </c>
      <c r="E116" s="428" t="str">
        <f>IF(OR(C14="",C16=""),"",IF(C16=0," ","280 V   10 kA"))</f>
        <v/>
      </c>
      <c r="G116" s="36"/>
      <c r="I116" s="106"/>
    </row>
    <row r="117" spans="1:9">
      <c r="A117" s="421"/>
      <c r="B117" s="123"/>
      <c r="C117" s="429"/>
      <c r="E117" s="428"/>
      <c r="H117" s="138"/>
      <c r="I117" s="37"/>
    </row>
    <row r="118" spans="1:9" ht="15">
      <c r="A118" s="421"/>
      <c r="B118" s="123"/>
      <c r="D118" s="31"/>
      <c r="E118" s="139"/>
      <c r="H118" s="138"/>
      <c r="I118" s="37"/>
    </row>
    <row r="119" spans="1:9" ht="15" customHeight="1">
      <c r="A119" s="421"/>
      <c r="B119" s="123"/>
      <c r="I119" s="37"/>
    </row>
    <row r="120" spans="1:9">
      <c r="A120" s="421"/>
      <c r="B120" s="123"/>
      <c r="I120" s="37"/>
    </row>
    <row r="121" spans="1:9">
      <c r="A121" s="421"/>
      <c r="B121" s="123"/>
      <c r="G121" s="406" t="s">
        <v>84</v>
      </c>
      <c r="H121" s="406"/>
      <c r="I121" s="106"/>
    </row>
    <row r="122" spans="1:9" ht="15.75">
      <c r="A122" s="421"/>
      <c r="B122" s="123"/>
      <c r="G122" s="425" t="str">
        <f>IF(OR(C14="",C16=""),"",D64)</f>
        <v/>
      </c>
      <c r="H122" s="425"/>
      <c r="I122" s="37"/>
    </row>
    <row r="123" spans="1:9" ht="15.75">
      <c r="A123" s="421"/>
      <c r="B123" s="97" t="b">
        <f>D53</f>
        <v>0</v>
      </c>
      <c r="C123" s="97" t="b">
        <f>D51</f>
        <v>0</v>
      </c>
      <c r="D123" s="97" t="str">
        <f>C36</f>
        <v/>
      </c>
      <c r="E123" s="140"/>
      <c r="G123" s="431" t="s">
        <v>34</v>
      </c>
      <c r="H123" s="431"/>
      <c r="I123" s="141"/>
    </row>
    <row r="124" spans="1:9">
      <c r="A124" s="421"/>
      <c r="I124" s="37"/>
    </row>
    <row r="125" spans="1:9">
      <c r="A125" s="421"/>
      <c r="B125" s="123"/>
      <c r="I125" s="37"/>
    </row>
    <row r="126" spans="1:9">
      <c r="A126" s="421"/>
      <c r="B126" s="123"/>
      <c r="I126" s="106"/>
    </row>
    <row r="127" spans="1:9">
      <c r="A127" s="421"/>
      <c r="B127" s="123"/>
      <c r="E127" s="423"/>
      <c r="F127" s="424"/>
      <c r="I127" s="37"/>
    </row>
    <row r="128" spans="1:9" ht="18">
      <c r="A128" s="421"/>
      <c r="B128" s="123"/>
      <c r="E128" s="423"/>
      <c r="F128" s="424"/>
      <c r="G128" s="142"/>
      <c r="H128" s="258" t="str">
        <f>IF(OR(C14="",C16=""),"",C61)</f>
        <v/>
      </c>
      <c r="I128" s="37"/>
    </row>
    <row r="129" spans="1:43 16383:16384">
      <c r="A129" s="421"/>
      <c r="B129" s="123"/>
      <c r="I129" s="37"/>
    </row>
    <row r="130" spans="1:43 16383:16384">
      <c r="A130" s="421"/>
      <c r="B130" s="123"/>
      <c r="I130" s="37"/>
    </row>
    <row r="131" spans="1:43 16383:16384" ht="12.75" customHeight="1">
      <c r="A131" s="421"/>
      <c r="B131" s="123"/>
      <c r="F131" s="426" t="s">
        <v>85</v>
      </c>
      <c r="G131" s="426"/>
      <c r="H131" s="426"/>
      <c r="I131" s="427"/>
    </row>
    <row r="132" spans="1:43 16383:16384">
      <c r="A132" s="421"/>
      <c r="B132" s="123"/>
      <c r="E132" s="50"/>
      <c r="F132" s="426"/>
      <c r="G132" s="426"/>
      <c r="H132" s="426"/>
      <c r="I132" s="427"/>
    </row>
    <row r="133" spans="1:43 16383:16384" ht="15">
      <c r="A133" s="421"/>
      <c r="B133" s="123"/>
      <c r="F133" s="442" t="str">
        <f>IF(OR(C14="",C16=""),"",E63)</f>
        <v/>
      </c>
      <c r="G133" s="442"/>
      <c r="H133" s="442"/>
      <c r="I133" s="335" t="s">
        <v>86</v>
      </c>
    </row>
    <row r="134" spans="1:43 16383:16384" ht="15.75">
      <c r="A134" s="421"/>
      <c r="B134" s="123"/>
      <c r="C134" s="143"/>
      <c r="E134" s="144"/>
      <c r="F134" s="125"/>
      <c r="I134" s="37"/>
    </row>
    <row r="135" spans="1:43 16383:16384" ht="15.75">
      <c r="A135" s="421"/>
      <c r="B135" s="123"/>
      <c r="C135" s="143" t="str">
        <f>IF(C14=0," ",CONCATENATE(C14," kV"))</f>
        <v xml:space="preserve"> </v>
      </c>
      <c r="E135" s="144" t="str">
        <f>IF(C16=0," ",CONCATENATE(C16," V"))</f>
        <v xml:space="preserve"> </v>
      </c>
      <c r="F135" s="144"/>
      <c r="G135" s="144"/>
      <c r="H135" s="92"/>
      <c r="I135" s="37"/>
    </row>
    <row r="136" spans="1:43 16383:16384">
      <c r="A136" s="421"/>
      <c r="B136" s="123"/>
      <c r="I136" s="37"/>
    </row>
    <row r="137" spans="1:43 16383:16384" ht="15.75">
      <c r="A137" s="421"/>
      <c r="B137" s="290" t="s">
        <v>87</v>
      </c>
      <c r="C137" s="67" t="str">
        <f>IF(C14=0," ",C14)</f>
        <v xml:space="preserve"> </v>
      </c>
      <c r="D137" s="35" t="s">
        <v>88</v>
      </c>
      <c r="F137" s="271" t="s">
        <v>44</v>
      </c>
      <c r="G137" s="430" t="s">
        <v>89</v>
      </c>
      <c r="H137" s="430"/>
      <c r="I137" s="272"/>
    </row>
    <row r="138" spans="1:43 16383:16384">
      <c r="A138" s="421"/>
      <c r="B138" s="34"/>
      <c r="F138" s="251" t="str">
        <f>G37</f>
        <v/>
      </c>
      <c r="G138" s="443" t="str">
        <f>G41</f>
        <v/>
      </c>
      <c r="H138" s="443"/>
      <c r="I138" s="37"/>
    </row>
    <row r="139" spans="1:43 16383:16384" hidden="1">
      <c r="A139" s="421"/>
      <c r="B139" s="34"/>
      <c r="I139" s="37"/>
    </row>
    <row r="140" spans="1:43 16383:16384" hidden="1">
      <c r="A140" s="421"/>
      <c r="B140" s="34"/>
      <c r="I140" s="37"/>
    </row>
    <row r="141" spans="1:43 16383:16384">
      <c r="A141" s="421"/>
      <c r="B141" s="34"/>
      <c r="I141" s="37"/>
    </row>
    <row r="142" spans="1:43 16383:16384" ht="12" customHeight="1" thickBot="1">
      <c r="A142" s="421"/>
      <c r="B142" s="34" t="str">
        <f>'QUADRO DE CARGAS'!B109:K109</f>
        <v>¹ Os cálculos definitivos devem seguir conforme projeto elétrico realizado por profissional devidamente habilitado.</v>
      </c>
      <c r="I142" s="37"/>
    </row>
    <row r="143" spans="1:43 16383:16384" ht="13.5" hidden="1" thickBot="1">
      <c r="A143" s="421"/>
      <c r="B143" s="34"/>
      <c r="I143" s="37"/>
    </row>
    <row r="144" spans="1:43 16383:16384" s="319" customFormat="1" ht="13.5" thickBot="1">
      <c r="A144" s="421"/>
      <c r="B144" s="435" t="s">
        <v>317</v>
      </c>
      <c r="C144" s="436"/>
      <c r="D144" s="436"/>
      <c r="E144" s="436"/>
      <c r="F144" s="436"/>
      <c r="G144" s="436"/>
      <c r="H144" s="436"/>
      <c r="I144" s="437"/>
      <c r="J144" s="316"/>
      <c r="K144" s="317"/>
      <c r="L144" s="318"/>
      <c r="AI144" s="318"/>
      <c r="AJ144" s="318"/>
      <c r="AK144" s="318"/>
      <c r="AL144" s="318"/>
      <c r="AM144" s="318"/>
      <c r="AN144" s="318"/>
      <c r="AO144" s="318"/>
      <c r="AP144" s="318"/>
      <c r="AQ144" s="316"/>
      <c r="XFC144" s="35"/>
      <c r="XFD144" s="320"/>
    </row>
    <row r="145" spans="1:58 16383:16383" ht="13.5" hidden="1" customHeight="1" thickBot="1">
      <c r="A145" s="422"/>
      <c r="B145" s="145"/>
      <c r="C145" s="146"/>
      <c r="D145" s="146"/>
      <c r="E145" s="146"/>
      <c r="F145" s="146"/>
      <c r="G145" s="146"/>
      <c r="H145" s="146"/>
      <c r="I145" s="147"/>
      <c r="XFC145" s="319"/>
    </row>
    <row r="146" spans="1:58 16383:16383"/>
    <row r="154" spans="1:58 16383:16383" hidden="1"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49"/>
      <c r="AJ154" s="149"/>
      <c r="AK154" s="149"/>
      <c r="AL154" s="149"/>
      <c r="AM154" s="149"/>
      <c r="AN154" s="149"/>
      <c r="AO154" s="149"/>
      <c r="AP154" s="149"/>
      <c r="AQ154" s="150"/>
      <c r="AR154" s="121"/>
      <c r="AS154" s="121"/>
      <c r="AT154" s="121"/>
      <c r="AU154" s="121"/>
      <c r="AV154" s="121"/>
      <c r="AW154" s="121"/>
      <c r="AX154" s="121"/>
      <c r="AY154" s="121"/>
      <c r="AZ154" s="121"/>
      <c r="BA154" s="121"/>
      <c r="BB154" s="121"/>
      <c r="BC154" s="121"/>
      <c r="BD154" s="121"/>
      <c r="BE154" s="121"/>
      <c r="BF154" s="121"/>
    </row>
    <row r="155" spans="1:58 16383:16383" hidden="1"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49"/>
      <c r="AJ155" s="149"/>
      <c r="AK155" s="149"/>
      <c r="AL155" s="149"/>
      <c r="AM155" s="149"/>
      <c r="AN155" s="149"/>
      <c r="AO155" s="149"/>
      <c r="AP155" s="149"/>
      <c r="AQ155" s="150"/>
      <c r="AR155" s="121"/>
      <c r="AS155" s="121"/>
      <c r="AT155" s="121"/>
      <c r="AU155" s="121"/>
      <c r="AV155" s="121"/>
      <c r="AW155" s="121"/>
      <c r="AX155" s="121"/>
      <c r="AY155" s="121"/>
      <c r="AZ155" s="121"/>
      <c r="BA155" s="121"/>
      <c r="BB155" s="121"/>
      <c r="BC155" s="121"/>
      <c r="BD155" s="121"/>
      <c r="BE155" s="121"/>
      <c r="BF155" s="121"/>
    </row>
    <row r="156" spans="1:58 16383:16383" hidden="1"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49"/>
      <c r="AJ156" s="149"/>
      <c r="AK156" s="149"/>
      <c r="AL156" s="149"/>
      <c r="AM156" s="149"/>
      <c r="AN156" s="149"/>
      <c r="AO156" s="149"/>
      <c r="AP156" s="149"/>
      <c r="AQ156" s="150"/>
      <c r="AR156" s="121"/>
      <c r="AS156" s="121"/>
      <c r="AT156" s="121"/>
      <c r="AU156" s="121"/>
      <c r="AV156" s="121"/>
      <c r="AW156" s="121"/>
      <c r="AX156" s="121"/>
      <c r="AY156" s="121"/>
      <c r="AZ156" s="121"/>
      <c r="BA156" s="121"/>
      <c r="BB156" s="121"/>
      <c r="BC156" s="121"/>
      <c r="BD156" s="121"/>
      <c r="BE156" s="121"/>
      <c r="BF156" s="121"/>
    </row>
    <row r="157" spans="1:58 16383:16383" hidden="1"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49"/>
      <c r="AJ157" s="149"/>
      <c r="AK157" s="149"/>
      <c r="AL157" s="149"/>
      <c r="AM157" s="149"/>
      <c r="AN157" s="149"/>
      <c r="AO157" s="149"/>
      <c r="AP157" s="149"/>
      <c r="AQ157" s="150"/>
      <c r="AR157" s="121"/>
      <c r="AS157" s="121"/>
      <c r="AT157" s="121"/>
      <c r="AU157" s="121"/>
      <c r="AV157" s="121"/>
      <c r="AW157" s="121"/>
      <c r="AX157" s="121"/>
      <c r="AY157" s="121"/>
      <c r="AZ157" s="121"/>
      <c r="BA157" s="121"/>
      <c r="BB157" s="121"/>
      <c r="BC157" s="121"/>
      <c r="BD157" s="121"/>
      <c r="BE157" s="121"/>
      <c r="BF157" s="121"/>
    </row>
    <row r="158" spans="1:58 16383:16383" hidden="1"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49"/>
      <c r="AJ158" s="149"/>
      <c r="AK158" s="149"/>
      <c r="AL158" s="149"/>
      <c r="AM158" s="149"/>
      <c r="AN158" s="149"/>
      <c r="AO158" s="149"/>
      <c r="AP158" s="149"/>
      <c r="AQ158" s="150"/>
      <c r="AR158" s="121"/>
      <c r="AS158" s="121"/>
      <c r="AT158" s="121"/>
      <c r="AU158" s="121"/>
      <c r="AV158" s="121"/>
      <c r="AW158" s="121"/>
      <c r="AX158" s="121"/>
      <c r="AY158" s="121"/>
      <c r="AZ158" s="121"/>
      <c r="BA158" s="121"/>
      <c r="BB158" s="121"/>
      <c r="BC158" s="121"/>
      <c r="BD158" s="121"/>
      <c r="BE158" s="121"/>
      <c r="BF158" s="121"/>
    </row>
    <row r="159" spans="1:58 16383:16383" hidden="1"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438"/>
      <c r="X159" s="438"/>
      <c r="Y159" s="438"/>
      <c r="Z159" s="438"/>
      <c r="AA159" s="438"/>
      <c r="AB159" s="438"/>
      <c r="AC159" s="438"/>
      <c r="AD159" s="121"/>
      <c r="AE159" s="121"/>
      <c r="AF159" s="121"/>
      <c r="AG159" s="121"/>
      <c r="AH159" s="121"/>
      <c r="AI159" s="149"/>
      <c r="AJ159" s="149"/>
      <c r="AK159" s="149"/>
      <c r="AL159" s="149"/>
      <c r="AM159" s="149"/>
      <c r="AN159" s="149"/>
      <c r="AO159" s="149"/>
      <c r="AP159" s="149"/>
      <c r="AQ159" s="150"/>
      <c r="AR159" s="121"/>
      <c r="AS159" s="121"/>
      <c r="AT159" s="121"/>
      <c r="AU159" s="121"/>
      <c r="AV159" s="121"/>
      <c r="AW159" s="121"/>
      <c r="AX159" s="121"/>
      <c r="AY159" s="121"/>
      <c r="AZ159" s="121"/>
      <c r="BA159" s="121"/>
      <c r="BB159" s="121"/>
      <c r="BC159" s="121"/>
      <c r="BD159" s="121"/>
      <c r="BE159" s="121"/>
      <c r="BF159" s="121"/>
    </row>
    <row r="160" spans="1:58 16383:16383" hidden="1"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439" t="s">
        <v>90</v>
      </c>
      <c r="X160" s="440"/>
      <c r="Y160" s="440"/>
      <c r="Z160" s="440"/>
      <c r="AA160" s="440"/>
      <c r="AB160" s="440"/>
      <c r="AC160" s="441"/>
      <c r="AD160" s="121"/>
      <c r="AE160" s="121"/>
      <c r="AF160" s="121"/>
      <c r="AG160" s="121"/>
      <c r="AH160" s="121"/>
      <c r="AI160" s="149"/>
      <c r="AJ160" s="149"/>
      <c r="AK160" s="149"/>
      <c r="AL160" s="149"/>
      <c r="AM160" s="151"/>
      <c r="AN160" s="149"/>
      <c r="AO160" s="149"/>
      <c r="AP160" s="149"/>
      <c r="AQ160" s="150"/>
      <c r="AR160" s="121"/>
      <c r="AS160" s="121"/>
      <c r="AT160" s="121"/>
      <c r="AU160" s="121"/>
      <c r="AV160" s="121"/>
      <c r="AW160" s="121"/>
      <c r="AX160" s="121"/>
      <c r="AY160" s="121"/>
      <c r="AZ160" s="121"/>
      <c r="BA160" s="121"/>
      <c r="BB160" s="121"/>
      <c r="BC160" s="121"/>
      <c r="BD160" s="121"/>
      <c r="BE160" s="121"/>
      <c r="BF160" s="121"/>
    </row>
    <row r="161" spans="13:58" hidden="1"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439" t="s">
        <v>91</v>
      </c>
      <c r="X161" s="440"/>
      <c r="Y161" s="440"/>
      <c r="Z161" s="440"/>
      <c r="AA161" s="440"/>
      <c r="AB161" s="440"/>
      <c r="AC161" s="441"/>
      <c r="AD161" s="121"/>
      <c r="AE161" s="121"/>
      <c r="AF161" s="121"/>
      <c r="AG161" s="121"/>
      <c r="AH161" s="121"/>
      <c r="AI161" s="149"/>
      <c r="AJ161" s="149"/>
      <c r="AK161" s="149"/>
      <c r="AL161" s="149"/>
      <c r="AM161" s="152" t="s">
        <v>92</v>
      </c>
      <c r="AN161" s="149"/>
      <c r="AO161" s="149"/>
      <c r="AP161" s="149"/>
      <c r="AQ161" s="150"/>
      <c r="AR161" s="121"/>
      <c r="AS161" s="121"/>
      <c r="AT161" s="121"/>
      <c r="AU161" s="121"/>
      <c r="AV161" s="121"/>
      <c r="AW161" s="121"/>
      <c r="AX161" s="121"/>
      <c r="AY161" s="121"/>
      <c r="AZ161" s="121"/>
      <c r="BA161" s="121"/>
      <c r="BB161" s="121"/>
      <c r="BC161" s="121"/>
      <c r="BD161" s="121"/>
      <c r="BE161" s="121"/>
      <c r="BF161" s="121"/>
    </row>
    <row r="162" spans="13:58" hidden="1"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439" t="s">
        <v>93</v>
      </c>
      <c r="X162" s="440"/>
      <c r="Y162" s="440"/>
      <c r="Z162" s="440"/>
      <c r="AA162" s="440"/>
      <c r="AB162" s="440"/>
      <c r="AC162" s="441"/>
      <c r="AD162" s="121"/>
      <c r="AE162" s="121"/>
      <c r="AF162" s="121"/>
      <c r="AG162" s="121"/>
      <c r="AH162" s="121"/>
      <c r="AI162" s="149"/>
      <c r="AJ162" s="149"/>
      <c r="AK162" s="149"/>
      <c r="AL162" s="149"/>
      <c r="AM162" s="152" t="s">
        <v>94</v>
      </c>
      <c r="AN162" s="149"/>
      <c r="AO162" s="149"/>
      <c r="AP162" s="149"/>
      <c r="AQ162" s="150"/>
      <c r="AR162" s="121"/>
      <c r="AS162" s="121"/>
      <c r="AT162" s="121"/>
      <c r="AU162" s="121"/>
      <c r="AV162" s="121"/>
      <c r="AW162" s="121"/>
      <c r="AX162" s="121"/>
      <c r="AY162" s="121"/>
      <c r="AZ162" s="121"/>
      <c r="BA162" s="121"/>
      <c r="BB162" s="121"/>
      <c r="BC162" s="121"/>
      <c r="BD162" s="121"/>
      <c r="BE162" s="121"/>
      <c r="BF162" s="121"/>
    </row>
    <row r="163" spans="13:58" hidden="1"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49"/>
      <c r="AJ163" s="149"/>
      <c r="AK163" s="149"/>
      <c r="AL163" s="149"/>
      <c r="AM163" s="152" t="s">
        <v>95</v>
      </c>
      <c r="AN163" s="149"/>
      <c r="AO163" s="149"/>
      <c r="AP163" s="149"/>
      <c r="AQ163" s="150"/>
      <c r="AR163" s="121"/>
      <c r="AS163" s="121"/>
      <c r="AT163" s="121"/>
      <c r="AU163" s="121"/>
      <c r="AV163" s="121"/>
      <c r="AW163" s="121"/>
      <c r="AX163" s="121"/>
      <c r="AY163" s="121"/>
      <c r="AZ163" s="121"/>
      <c r="BA163" s="121"/>
      <c r="BB163" s="121"/>
      <c r="BC163" s="121"/>
      <c r="BD163" s="121"/>
      <c r="BE163" s="121"/>
      <c r="BF163" s="121"/>
    </row>
    <row r="164" spans="13:58" hidden="1"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49"/>
      <c r="AJ164" s="149"/>
      <c r="AK164" s="149"/>
      <c r="AL164" s="149"/>
      <c r="AM164" s="152" t="s">
        <v>96</v>
      </c>
      <c r="AN164" s="149"/>
      <c r="AO164" s="149"/>
      <c r="AP164" s="149"/>
      <c r="AQ164" s="150"/>
      <c r="AR164" s="121"/>
      <c r="AS164" s="121"/>
      <c r="AT164" s="121"/>
      <c r="AU164" s="121"/>
      <c r="AV164" s="121"/>
      <c r="AW164" s="121"/>
      <c r="AX164" s="121"/>
      <c r="AY164" s="121"/>
      <c r="AZ164" s="121"/>
      <c r="BA164" s="121"/>
      <c r="BB164" s="121"/>
      <c r="BC164" s="121"/>
      <c r="BD164" s="121"/>
      <c r="BE164" s="121"/>
      <c r="BF164" s="121"/>
    </row>
    <row r="165" spans="13:58" hidden="1"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49"/>
      <c r="AJ165" s="149"/>
      <c r="AK165" s="149"/>
      <c r="AL165" s="149"/>
      <c r="AM165" s="152" t="s">
        <v>97</v>
      </c>
      <c r="AN165" s="149"/>
      <c r="AO165" s="149"/>
      <c r="AP165" s="149"/>
      <c r="AQ165" s="150"/>
      <c r="AR165" s="121"/>
      <c r="AS165" s="121"/>
      <c r="AT165" s="121"/>
      <c r="AU165" s="121"/>
      <c r="AV165" s="121"/>
      <c r="AW165" s="121"/>
      <c r="AX165" s="121"/>
      <c r="AY165" s="121"/>
      <c r="AZ165" s="121"/>
      <c r="BA165" s="121"/>
      <c r="BB165" s="121"/>
      <c r="BC165" s="121"/>
      <c r="BD165" s="121"/>
      <c r="BE165" s="121"/>
      <c r="BF165" s="121"/>
    </row>
    <row r="166" spans="13:58" hidden="1"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49"/>
      <c r="AJ166" s="149"/>
      <c r="AK166" s="149"/>
      <c r="AL166" s="149"/>
      <c r="AM166" s="149"/>
      <c r="AN166" s="149"/>
      <c r="AO166" s="149"/>
      <c r="AP166" s="149"/>
      <c r="AQ166" s="150"/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</row>
    <row r="167" spans="13:58" hidden="1"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49"/>
      <c r="AJ167" s="149"/>
      <c r="AK167" s="149"/>
      <c r="AL167" s="149"/>
      <c r="AM167" s="149"/>
      <c r="AN167" s="149"/>
      <c r="AO167" s="149"/>
      <c r="AP167" s="149"/>
      <c r="AQ167" s="150"/>
      <c r="AR167" s="121"/>
      <c r="AS167" s="121"/>
      <c r="AT167" s="121"/>
      <c r="AU167" s="121"/>
      <c r="AV167" s="121"/>
      <c r="AW167" s="121"/>
      <c r="AX167" s="121"/>
      <c r="AY167" s="121"/>
      <c r="AZ167" s="121"/>
      <c r="BA167" s="121"/>
      <c r="BB167" s="121"/>
      <c r="BC167" s="121"/>
      <c r="BD167" s="121"/>
      <c r="BE167" s="121"/>
      <c r="BF167" s="121"/>
    </row>
    <row r="168" spans="13:58" hidden="1"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49"/>
      <c r="AJ168" s="149"/>
      <c r="AK168" s="149"/>
      <c r="AL168" s="149"/>
      <c r="AM168" s="149"/>
      <c r="AN168" s="149"/>
      <c r="AO168" s="149"/>
      <c r="AP168" s="149"/>
      <c r="AQ168" s="150"/>
      <c r="AR168" s="121"/>
      <c r="AS168" s="121"/>
      <c r="AT168" s="121"/>
      <c r="AU168" s="121"/>
      <c r="AV168" s="121"/>
      <c r="AW168" s="121"/>
      <c r="AX168" s="121"/>
      <c r="AY168" s="121"/>
      <c r="AZ168" s="121"/>
      <c r="BA168" s="121"/>
      <c r="BB168" s="121"/>
      <c r="BC168" s="121"/>
      <c r="BD168" s="121"/>
      <c r="BE168" s="121"/>
      <c r="BF168" s="121"/>
    </row>
    <row r="169" spans="13:58" hidden="1"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49"/>
      <c r="AJ169" s="149"/>
      <c r="AK169" s="149"/>
      <c r="AL169" s="149"/>
      <c r="AM169" s="149"/>
      <c r="AN169" s="149"/>
      <c r="AO169" s="149"/>
      <c r="AP169" s="149"/>
      <c r="AQ169" s="150"/>
      <c r="AR169" s="121"/>
      <c r="AS169" s="121"/>
      <c r="AT169" s="121"/>
      <c r="AU169" s="121"/>
      <c r="AV169" s="121"/>
      <c r="AW169" s="121"/>
      <c r="AX169" s="121"/>
      <c r="AY169" s="121"/>
      <c r="AZ169" s="121"/>
      <c r="BA169" s="121"/>
      <c r="BB169" s="121"/>
      <c r="BC169" s="121"/>
      <c r="BD169" s="121"/>
      <c r="BE169" s="121"/>
      <c r="BF169" s="121"/>
    </row>
    <row r="170" spans="13:58" hidden="1"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49"/>
      <c r="AJ170" s="149"/>
      <c r="AK170" s="149"/>
      <c r="AL170" s="149"/>
      <c r="AM170" s="149"/>
      <c r="AN170" s="149"/>
      <c r="AO170" s="149"/>
      <c r="AP170" s="149"/>
      <c r="AQ170" s="150"/>
      <c r="AR170" s="121"/>
      <c r="AS170" s="121"/>
      <c r="AT170" s="121"/>
      <c r="AU170" s="121"/>
      <c r="AV170" s="121"/>
      <c r="AW170" s="121"/>
      <c r="AX170" s="121"/>
      <c r="AY170" s="121"/>
      <c r="AZ170" s="121"/>
      <c r="BA170" s="121"/>
      <c r="BB170" s="121"/>
      <c r="BC170" s="121"/>
      <c r="BD170" s="121"/>
      <c r="BE170" s="121"/>
      <c r="BF170" s="121"/>
    </row>
    <row r="171" spans="13:58" ht="13.5" hidden="1" thickBot="1"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49"/>
      <c r="AJ171" s="149"/>
      <c r="AK171" s="149"/>
      <c r="AL171" s="149"/>
      <c r="AM171" s="149"/>
      <c r="AN171" s="149"/>
      <c r="AO171" s="149"/>
      <c r="AP171" s="149"/>
      <c r="AQ171" s="150"/>
      <c r="AR171" s="121"/>
      <c r="AS171" s="121"/>
      <c r="AT171" s="121"/>
      <c r="AU171" s="121"/>
      <c r="AV171" s="121"/>
      <c r="AW171" s="121"/>
      <c r="AX171" s="121"/>
      <c r="AY171" s="121"/>
      <c r="AZ171" s="121"/>
      <c r="BA171" s="121"/>
      <c r="BB171" s="121"/>
      <c r="BC171" s="121"/>
      <c r="BD171" s="121"/>
      <c r="BE171" s="121"/>
      <c r="BF171" s="121"/>
    </row>
    <row r="172" spans="13:58" hidden="1"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51" t="s">
        <v>98</v>
      </c>
      <c r="AH172" s="121"/>
      <c r="AI172" s="153" t="s">
        <v>99</v>
      </c>
      <c r="AJ172" s="154" t="s">
        <v>9</v>
      </c>
      <c r="AK172" s="154" t="s">
        <v>100</v>
      </c>
      <c r="AL172" s="154" t="s">
        <v>101</v>
      </c>
      <c r="AM172" s="149"/>
      <c r="AN172" s="432" t="s">
        <v>102</v>
      </c>
      <c r="AO172" s="433"/>
      <c r="AP172" s="433"/>
      <c r="AQ172" s="434"/>
      <c r="AR172" s="121"/>
      <c r="AS172" s="121"/>
      <c r="AT172" s="121"/>
      <c r="AU172" s="121"/>
      <c r="AV172" s="121"/>
      <c r="AW172" s="121"/>
      <c r="AX172" s="121"/>
      <c r="AY172" s="121"/>
      <c r="AZ172" s="121"/>
      <c r="BA172" s="121"/>
      <c r="BB172" s="121"/>
      <c r="BC172" s="121"/>
      <c r="BD172" s="121"/>
      <c r="BE172" s="121"/>
      <c r="BF172" s="121"/>
    </row>
    <row r="173" spans="13:58" hidden="1"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55"/>
      <c r="AH173" s="121"/>
      <c r="AI173" s="156">
        <v>220</v>
      </c>
      <c r="AJ173" s="151"/>
      <c r="AK173" s="151"/>
      <c r="AL173" s="151"/>
      <c r="AM173" s="149"/>
      <c r="AN173" s="157"/>
      <c r="AO173" s="149"/>
      <c r="AP173" s="149"/>
      <c r="AQ173" s="158"/>
      <c r="AR173" s="121"/>
      <c r="AS173" s="121"/>
      <c r="AT173" s="121"/>
      <c r="AU173" s="121"/>
      <c r="AV173" s="121"/>
      <c r="AW173" s="121"/>
      <c r="AX173" s="121"/>
      <c r="AY173" s="121"/>
      <c r="AZ173" s="121"/>
      <c r="BA173" s="121"/>
      <c r="BB173" s="121"/>
      <c r="BC173" s="121"/>
      <c r="BD173" s="121"/>
      <c r="BE173" s="121"/>
      <c r="BF173" s="121"/>
    </row>
    <row r="174" spans="13:58" hidden="1"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51" t="s">
        <v>103</v>
      </c>
      <c r="AH174" s="121"/>
      <c r="AI174" s="159" t="s">
        <v>23</v>
      </c>
      <c r="AJ174" s="151">
        <v>0.01</v>
      </c>
      <c r="AK174" s="160">
        <v>13.8</v>
      </c>
      <c r="AL174" s="151">
        <v>0.1</v>
      </c>
      <c r="AM174" s="149"/>
      <c r="AN174" s="157" t="s">
        <v>104</v>
      </c>
      <c r="AO174" s="149"/>
      <c r="AP174" s="149"/>
      <c r="AQ174" s="158"/>
      <c r="AR174" s="121"/>
      <c r="AS174" s="121"/>
      <c r="AT174" s="121"/>
      <c r="AU174" s="121"/>
      <c r="AV174" s="121"/>
      <c r="AW174" s="121"/>
      <c r="AX174" s="121"/>
      <c r="AY174" s="121"/>
      <c r="AZ174" s="121"/>
      <c r="BA174" s="121"/>
      <c r="BB174" s="121"/>
      <c r="BC174" s="121"/>
      <c r="BD174" s="121"/>
      <c r="BE174" s="121"/>
      <c r="BF174" s="121"/>
    </row>
    <row r="175" spans="13:58" ht="13.5" hidden="1" thickBot="1"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51" t="s">
        <v>34</v>
      </c>
      <c r="AH175" s="121"/>
      <c r="AI175" s="159" t="s">
        <v>22</v>
      </c>
      <c r="AJ175" s="151">
        <v>0.02</v>
      </c>
      <c r="AK175" s="160">
        <v>34.5</v>
      </c>
      <c r="AL175" s="151">
        <v>0.2</v>
      </c>
      <c r="AM175" s="149"/>
      <c r="AN175" s="161" t="s">
        <v>105</v>
      </c>
      <c r="AO175" s="162"/>
      <c r="AP175" s="162"/>
      <c r="AQ175" s="163"/>
      <c r="AR175" s="121"/>
      <c r="AS175" s="121"/>
      <c r="AT175" s="121"/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</row>
    <row r="176" spans="13:58" hidden="1"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51"/>
      <c r="AH176" s="121"/>
      <c r="AI176" s="151"/>
      <c r="AJ176" s="151">
        <v>0.03</v>
      </c>
      <c r="AK176" s="151"/>
      <c r="AL176" s="151">
        <v>0.3</v>
      </c>
      <c r="AM176" s="149"/>
      <c r="AN176" s="149"/>
      <c r="AO176" s="149"/>
      <c r="AP176" s="149"/>
      <c r="AQ176" s="150"/>
      <c r="AR176" s="121"/>
      <c r="AS176" s="121"/>
      <c r="AT176" s="121"/>
      <c r="AU176" s="121"/>
      <c r="AV176" s="121"/>
      <c r="AW176" s="121"/>
      <c r="AX176" s="121"/>
      <c r="AY176" s="121"/>
      <c r="AZ176" s="121"/>
      <c r="BA176" s="121"/>
      <c r="BB176" s="121"/>
      <c r="BC176" s="121"/>
      <c r="BD176" s="121"/>
      <c r="BE176" s="121"/>
      <c r="BF176" s="121"/>
    </row>
    <row r="177" spans="13:58" hidden="1"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64"/>
      <c r="AH177" s="121"/>
      <c r="AI177" s="149"/>
      <c r="AJ177" s="151">
        <v>0.04</v>
      </c>
      <c r="AK177" s="151"/>
      <c r="AL177" s="151">
        <v>0.4</v>
      </c>
      <c r="AM177" s="149"/>
      <c r="AN177" s="149"/>
      <c r="AO177" s="149"/>
      <c r="AP177" s="149"/>
      <c r="AQ177" s="150"/>
      <c r="AR177" s="121"/>
      <c r="AS177" s="121"/>
      <c r="AT177" s="121"/>
      <c r="AU177" s="121"/>
      <c r="AV177" s="121"/>
      <c r="AW177" s="121"/>
      <c r="AX177" s="121"/>
      <c r="AY177" s="121"/>
      <c r="AZ177" s="121"/>
      <c r="BA177" s="121"/>
      <c r="BB177" s="121"/>
      <c r="BC177" s="121"/>
      <c r="BD177" s="121"/>
      <c r="BE177" s="121"/>
      <c r="BF177" s="121"/>
    </row>
    <row r="178" spans="13:58" hidden="1"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49"/>
      <c r="AJ178" s="151">
        <v>0.05</v>
      </c>
      <c r="AK178" s="151"/>
      <c r="AL178" s="151">
        <v>0.5</v>
      </c>
      <c r="AM178" s="149"/>
      <c r="AN178" s="149"/>
      <c r="AO178" s="149"/>
      <c r="AP178" s="149"/>
      <c r="AQ178" s="150"/>
      <c r="AR178" s="121"/>
      <c r="AS178" s="121"/>
      <c r="AT178" s="121"/>
      <c r="AU178" s="121"/>
      <c r="AV178" s="121"/>
      <c r="AW178" s="121"/>
      <c r="AX178" s="121"/>
      <c r="AY178" s="121"/>
      <c r="AZ178" s="121"/>
      <c r="BA178" s="121"/>
      <c r="BB178" s="121"/>
      <c r="BC178" s="121"/>
      <c r="BD178" s="121"/>
      <c r="BE178" s="121"/>
      <c r="BF178" s="121"/>
    </row>
    <row r="179" spans="13:58" hidden="1"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49"/>
      <c r="AJ179" s="151">
        <v>0.06</v>
      </c>
      <c r="AL179" s="151">
        <v>0.6</v>
      </c>
      <c r="AM179" s="149"/>
      <c r="AN179" s="149"/>
      <c r="AO179" s="149"/>
      <c r="AP179" s="149"/>
      <c r="AQ179" s="150"/>
      <c r="AR179" s="121"/>
      <c r="AS179" s="121"/>
      <c r="AT179" s="121"/>
      <c r="AU179" s="121"/>
      <c r="AV179" s="121"/>
      <c r="AW179" s="121"/>
      <c r="AX179" s="121"/>
      <c r="AY179" s="121"/>
      <c r="AZ179" s="121"/>
      <c r="BA179" s="121"/>
      <c r="BB179" s="121"/>
      <c r="BC179" s="121"/>
      <c r="BD179" s="121"/>
      <c r="BE179" s="121"/>
      <c r="BF179" s="121"/>
    </row>
    <row r="180" spans="13:58" hidden="1"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49"/>
      <c r="AJ180" s="151">
        <v>7.0000000000000007E-2</v>
      </c>
      <c r="AK180" s="149"/>
      <c r="AL180" s="151">
        <v>0.7</v>
      </c>
      <c r="AM180" s="149"/>
      <c r="AN180" s="151" t="s">
        <v>106</v>
      </c>
      <c r="AO180" s="151" t="s">
        <v>107</v>
      </c>
      <c r="AP180" s="151" t="s">
        <v>108</v>
      </c>
      <c r="AQ180" s="150"/>
      <c r="AR180" s="121"/>
      <c r="AS180" s="121"/>
      <c r="AT180" s="121"/>
      <c r="AU180" s="121"/>
      <c r="AV180" s="121"/>
      <c r="AW180" s="121"/>
      <c r="AX180" s="121"/>
      <c r="AY180" s="121"/>
      <c r="AZ180" s="121"/>
      <c r="BA180" s="121"/>
      <c r="BB180" s="121"/>
      <c r="BC180" s="121"/>
      <c r="BD180" s="121"/>
      <c r="BE180" s="121"/>
      <c r="BF180" s="121"/>
    </row>
    <row r="181" spans="13:58" hidden="1"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49"/>
      <c r="AJ181" s="151">
        <v>0.08</v>
      </c>
      <c r="AK181" s="149"/>
      <c r="AL181" s="151">
        <v>0.8</v>
      </c>
      <c r="AM181" s="149"/>
      <c r="AN181" s="151"/>
      <c r="AO181" s="151"/>
      <c r="AP181" s="165"/>
      <c r="AQ181" s="150"/>
      <c r="AR181" s="121"/>
      <c r="AS181" s="121"/>
      <c r="AT181" s="121"/>
      <c r="AU181" s="121"/>
      <c r="AV181" s="121"/>
      <c r="AW181" s="121"/>
      <c r="AX181" s="121"/>
      <c r="AY181" s="121"/>
      <c r="AZ181" s="121"/>
      <c r="BA181" s="121"/>
      <c r="BB181" s="121"/>
      <c r="BC181" s="121"/>
      <c r="BD181" s="121"/>
      <c r="BE181" s="121"/>
      <c r="BF181" s="121"/>
    </row>
    <row r="182" spans="13:58" hidden="1"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49"/>
      <c r="AJ182" s="151">
        <v>0.09</v>
      </c>
      <c r="AK182" s="149"/>
      <c r="AL182" s="151">
        <v>0.9</v>
      </c>
      <c r="AM182" s="149"/>
      <c r="AN182" s="151">
        <v>1</v>
      </c>
      <c r="AO182" s="151" t="e">
        <f>IF(#REF!=$AP$182,"(A)","")</f>
        <v>#REF!</v>
      </c>
      <c r="AP182" s="166" t="s">
        <v>90</v>
      </c>
      <c r="AQ182" s="150"/>
      <c r="AR182" s="121"/>
      <c r="AS182" s="121"/>
      <c r="AT182" s="121"/>
      <c r="AU182" s="121"/>
      <c r="AV182" s="121"/>
      <c r="AW182" s="121"/>
      <c r="AX182" s="121"/>
      <c r="AY182" s="121"/>
      <c r="AZ182" s="121"/>
      <c r="BA182" s="121"/>
      <c r="BB182" s="121"/>
      <c r="BC182" s="121"/>
      <c r="BD182" s="121"/>
      <c r="BE182" s="121"/>
      <c r="BF182" s="121"/>
    </row>
    <row r="183" spans="13:58" hidden="1"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49" t="s">
        <v>109</v>
      </c>
      <c r="AH183" s="121"/>
      <c r="AI183" s="149"/>
      <c r="AJ183" s="151">
        <v>0.1</v>
      </c>
      <c r="AK183" s="149"/>
      <c r="AL183" s="151">
        <v>1</v>
      </c>
      <c r="AM183" s="149"/>
      <c r="AN183" s="151">
        <v>2</v>
      </c>
      <c r="AO183" s="151" t="e">
        <f>IF(#REF!&lt;&gt;$AP$182,"(B)","")</f>
        <v>#REF!</v>
      </c>
      <c r="AP183" s="166" t="s">
        <v>91</v>
      </c>
      <c r="AQ183" s="150"/>
      <c r="AR183" s="121"/>
      <c r="AS183" s="121"/>
      <c r="AT183" s="121"/>
      <c r="AU183" s="121"/>
      <c r="AV183" s="121"/>
      <c r="AW183" s="121"/>
      <c r="AX183" s="121"/>
      <c r="AY183" s="121"/>
      <c r="AZ183" s="121"/>
      <c r="BA183" s="121"/>
      <c r="BB183" s="121"/>
      <c r="BC183" s="121"/>
      <c r="BD183" s="121"/>
      <c r="BE183" s="121"/>
      <c r="BF183" s="121"/>
    </row>
    <row r="184" spans="13:58" ht="13.5" hidden="1" thickBot="1"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49"/>
      <c r="AJ184" s="151">
        <v>0.11</v>
      </c>
      <c r="AK184" s="149"/>
      <c r="AL184" s="149"/>
      <c r="AM184" s="149"/>
      <c r="AN184" s="167">
        <v>3</v>
      </c>
      <c r="AO184" s="151" t="e">
        <f>IF(#REF!&lt;&gt;$AP$182,"(C)","")</f>
        <v>#REF!</v>
      </c>
      <c r="AP184" s="166" t="s">
        <v>93</v>
      </c>
      <c r="AQ184" s="150"/>
      <c r="AR184" s="121"/>
      <c r="AS184" s="121"/>
      <c r="AT184" s="121"/>
      <c r="AU184" s="121"/>
      <c r="AV184" s="121"/>
      <c r="AW184" s="121"/>
      <c r="AX184" s="121"/>
      <c r="AY184" s="121"/>
      <c r="AZ184" s="121"/>
      <c r="BA184" s="121"/>
      <c r="BB184" s="121"/>
      <c r="BC184" s="121"/>
      <c r="BD184" s="121"/>
      <c r="BE184" s="121"/>
      <c r="BF184" s="121"/>
    </row>
    <row r="185" spans="13:58" ht="13.5" hidden="1" thickBot="1"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49"/>
      <c r="AJ185" s="151">
        <v>0.12</v>
      </c>
      <c r="AK185" s="149"/>
      <c r="AL185" s="149"/>
      <c r="AM185" s="149"/>
      <c r="AN185" s="168">
        <v>4</v>
      </c>
      <c r="AO185" s="151" t="e">
        <f>IF(#REF!&lt;&gt;$AP$182,"(D)","")</f>
        <v>#REF!</v>
      </c>
      <c r="AP185" s="149"/>
      <c r="AQ185" s="150"/>
      <c r="AR185" s="121"/>
      <c r="AS185" s="121"/>
      <c r="AT185" s="121"/>
      <c r="AU185" s="121"/>
      <c r="AV185" s="121"/>
      <c r="AW185" s="121"/>
      <c r="AX185" s="121"/>
      <c r="AY185" s="121"/>
      <c r="AZ185" s="121"/>
      <c r="BA185" s="121"/>
      <c r="BB185" s="121"/>
      <c r="BC185" s="121"/>
      <c r="BD185" s="121"/>
      <c r="BE185" s="121"/>
      <c r="BF185" s="121"/>
    </row>
    <row r="186" spans="13:58" hidden="1"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49"/>
      <c r="AJ186" s="151">
        <v>0.13</v>
      </c>
      <c r="AK186" s="149"/>
      <c r="AL186" s="149"/>
      <c r="AM186" s="149"/>
      <c r="AN186" s="149"/>
      <c r="AO186" s="151" t="e">
        <f>IF(#REF!&lt;&gt;$AP$182,"(E)","")</f>
        <v>#REF!</v>
      </c>
      <c r="AP186" s="149"/>
      <c r="AQ186" s="150"/>
      <c r="AR186" s="121"/>
      <c r="AS186" s="121"/>
      <c r="AT186" s="121"/>
      <c r="AU186" s="121"/>
      <c r="AV186" s="121"/>
      <c r="AW186" s="121"/>
      <c r="AX186" s="121"/>
      <c r="AY186" s="121"/>
      <c r="AZ186" s="121"/>
      <c r="BA186" s="121"/>
      <c r="BB186" s="121"/>
      <c r="BC186" s="121"/>
      <c r="BD186" s="121"/>
      <c r="BE186" s="121"/>
      <c r="BF186" s="121"/>
    </row>
    <row r="187" spans="13:58" hidden="1"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49"/>
      <c r="AJ187" s="151">
        <v>0.14000000000000001</v>
      </c>
      <c r="AK187" s="149"/>
      <c r="AL187" s="149"/>
      <c r="AM187" s="149"/>
      <c r="AN187" s="149"/>
      <c r="AO187" s="151" t="e">
        <f>IF(#REF!&lt;&gt;$AP$182,"(F)","")</f>
        <v>#REF!</v>
      </c>
      <c r="AP187" s="149"/>
      <c r="AQ187" s="150"/>
      <c r="AR187" s="121"/>
      <c r="AS187" s="121"/>
      <c r="AT187" s="121"/>
      <c r="AU187" s="121"/>
      <c r="AV187" s="121"/>
      <c r="AW187" s="121"/>
      <c r="AX187" s="121"/>
      <c r="AY187" s="121"/>
      <c r="AZ187" s="121"/>
      <c r="BA187" s="121"/>
      <c r="BB187" s="121"/>
      <c r="BC187" s="121"/>
      <c r="BD187" s="121"/>
      <c r="BE187" s="121"/>
      <c r="BF187" s="121"/>
    </row>
    <row r="188" spans="13:58" hidden="1"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49"/>
      <c r="AJ188" s="151">
        <v>0.15</v>
      </c>
      <c r="AK188" s="149"/>
      <c r="AL188" s="149"/>
      <c r="AM188" s="149"/>
      <c r="AN188" s="149"/>
      <c r="AO188" s="149"/>
      <c r="AP188" s="149"/>
      <c r="AQ188" s="150"/>
      <c r="AR188" s="121"/>
      <c r="AS188" s="121"/>
      <c r="AT188" s="121"/>
      <c r="AU188" s="121"/>
      <c r="AV188" s="121"/>
      <c r="AW188" s="121"/>
      <c r="AX188" s="121"/>
      <c r="AY188" s="121"/>
      <c r="AZ188" s="121"/>
      <c r="BA188" s="121"/>
      <c r="BB188" s="121"/>
      <c r="BC188" s="121"/>
      <c r="BD188" s="121"/>
      <c r="BE188" s="121"/>
      <c r="BF188" s="121"/>
    </row>
    <row r="189" spans="13:58" hidden="1"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49"/>
      <c r="AJ189" s="151">
        <v>0.16</v>
      </c>
      <c r="AK189" s="149"/>
      <c r="AL189" s="121"/>
      <c r="AM189" s="149"/>
      <c r="AN189" s="149"/>
      <c r="AO189" s="149"/>
      <c r="AP189" s="149"/>
      <c r="AQ189" s="150"/>
      <c r="AR189" s="121"/>
      <c r="AS189" s="121"/>
      <c r="AT189" s="121"/>
      <c r="AU189" s="121"/>
      <c r="AV189" s="121"/>
      <c r="AW189" s="121"/>
      <c r="AX189" s="121"/>
      <c r="AY189" s="121"/>
      <c r="AZ189" s="121"/>
      <c r="BA189" s="121"/>
      <c r="BB189" s="121"/>
      <c r="BC189" s="121"/>
      <c r="BD189" s="121"/>
      <c r="BE189" s="121"/>
      <c r="BF189" s="121"/>
    </row>
    <row r="190" spans="13:58" hidden="1"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49"/>
      <c r="AJ190" s="151">
        <v>0.17</v>
      </c>
      <c r="AK190" s="149"/>
      <c r="AL190" s="121"/>
      <c r="AM190" s="149"/>
      <c r="AN190" s="149"/>
      <c r="AO190" s="149"/>
      <c r="AP190" s="149"/>
      <c r="AQ190" s="150"/>
      <c r="AR190" s="121"/>
      <c r="AS190" s="121"/>
      <c r="AT190" s="121"/>
      <c r="AU190" s="121"/>
      <c r="AV190" s="121"/>
      <c r="AW190" s="121"/>
      <c r="AX190" s="121"/>
      <c r="AY190" s="121"/>
      <c r="AZ190" s="121"/>
      <c r="BA190" s="121"/>
      <c r="BB190" s="121"/>
      <c r="BC190" s="121"/>
      <c r="BD190" s="121"/>
      <c r="BE190" s="121"/>
      <c r="BF190" s="121"/>
    </row>
    <row r="191" spans="13:58" hidden="1"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49"/>
      <c r="AJ191" s="151">
        <v>0.18</v>
      </c>
      <c r="AK191" s="149"/>
      <c r="AL191" s="121"/>
      <c r="AM191" s="149"/>
      <c r="AN191" s="149"/>
      <c r="AO191" s="149"/>
      <c r="AP191" s="149"/>
      <c r="AQ191" s="150"/>
      <c r="AR191" s="121"/>
      <c r="AS191" s="121"/>
      <c r="AT191" s="121"/>
      <c r="AU191" s="121"/>
      <c r="AV191" s="121"/>
      <c r="AW191" s="121"/>
      <c r="AX191" s="121"/>
      <c r="AY191" s="121"/>
      <c r="AZ191" s="121"/>
      <c r="BA191" s="121"/>
      <c r="BB191" s="121"/>
      <c r="BC191" s="121"/>
      <c r="BD191" s="121"/>
      <c r="BE191" s="121"/>
      <c r="BF191" s="121"/>
    </row>
    <row r="192" spans="13:58" hidden="1"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49"/>
      <c r="AJ192" s="151">
        <v>0.19</v>
      </c>
      <c r="AK192" s="149"/>
      <c r="AL192" s="149"/>
      <c r="AM192" s="149"/>
      <c r="AN192" s="149"/>
      <c r="AO192" s="149"/>
      <c r="AP192" s="149"/>
      <c r="AQ192" s="150"/>
      <c r="AR192" s="121"/>
      <c r="AS192" s="121"/>
      <c r="AT192" s="121"/>
      <c r="AU192" s="121"/>
      <c r="AV192" s="121"/>
      <c r="AW192" s="121"/>
      <c r="AX192" s="121"/>
      <c r="AY192" s="121"/>
      <c r="AZ192" s="121"/>
      <c r="BA192" s="121"/>
      <c r="BB192" s="121"/>
      <c r="BC192" s="121"/>
      <c r="BD192" s="121"/>
      <c r="BE192" s="121"/>
      <c r="BF192" s="121"/>
    </row>
    <row r="193" spans="13:58" hidden="1"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49"/>
      <c r="AJ193" s="151">
        <v>0.2</v>
      </c>
      <c r="AK193" s="149"/>
      <c r="AL193" s="149"/>
      <c r="AM193" s="149"/>
      <c r="AN193" s="149"/>
      <c r="AO193" s="149"/>
      <c r="AP193" s="149"/>
      <c r="AQ193" s="150"/>
      <c r="AR193" s="121"/>
      <c r="AS193" s="121"/>
      <c r="AT193" s="121"/>
      <c r="AU193" s="121"/>
      <c r="AV193" s="121"/>
      <c r="AW193" s="121"/>
      <c r="AX193" s="121"/>
      <c r="AY193" s="121"/>
      <c r="AZ193" s="121"/>
      <c r="BA193" s="121"/>
      <c r="BB193" s="121"/>
      <c r="BC193" s="121"/>
      <c r="BD193" s="121"/>
      <c r="BE193" s="121"/>
      <c r="BF193" s="121"/>
    </row>
    <row r="194" spans="13:58" hidden="1"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49"/>
      <c r="AJ194" s="151">
        <v>0.21</v>
      </c>
      <c r="AK194" s="149"/>
      <c r="AL194" s="149"/>
      <c r="AM194" s="149"/>
      <c r="AN194" s="149"/>
      <c r="AO194" s="149"/>
      <c r="AP194" s="149"/>
      <c r="AQ194" s="150"/>
      <c r="AR194" s="121"/>
      <c r="AS194" s="121"/>
      <c r="AT194" s="121"/>
      <c r="AU194" s="121"/>
      <c r="AV194" s="121"/>
      <c r="AW194" s="121"/>
      <c r="AX194" s="121"/>
      <c r="AY194" s="121"/>
      <c r="AZ194" s="121"/>
      <c r="BA194" s="121"/>
      <c r="BB194" s="121"/>
      <c r="BC194" s="121"/>
      <c r="BD194" s="121"/>
      <c r="BE194" s="121"/>
      <c r="BF194" s="121"/>
    </row>
    <row r="195" spans="13:58" hidden="1"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49"/>
      <c r="AJ195" s="151">
        <v>0.22</v>
      </c>
      <c r="AK195" s="149"/>
      <c r="AL195" s="149"/>
      <c r="AM195" s="149"/>
      <c r="AN195" s="149"/>
      <c r="AO195" s="149"/>
      <c r="AP195" s="149"/>
      <c r="AQ195" s="150"/>
      <c r="AR195" s="121"/>
      <c r="AS195" s="121"/>
      <c r="AT195" s="121"/>
      <c r="AU195" s="121"/>
      <c r="AV195" s="121"/>
      <c r="AW195" s="121"/>
      <c r="AX195" s="121"/>
      <c r="AY195" s="121"/>
      <c r="AZ195" s="121"/>
      <c r="BA195" s="121"/>
      <c r="BB195" s="121"/>
      <c r="BC195" s="121"/>
      <c r="BD195" s="121"/>
      <c r="BE195" s="121"/>
      <c r="BF195" s="121"/>
    </row>
    <row r="196" spans="13:58" hidden="1"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49"/>
      <c r="AJ196" s="151">
        <v>0.23</v>
      </c>
      <c r="AK196" s="149"/>
      <c r="AL196" s="149"/>
      <c r="AM196" s="149"/>
      <c r="AN196" s="149"/>
      <c r="AO196" s="149"/>
      <c r="AP196" s="149"/>
      <c r="AQ196" s="150"/>
      <c r="AR196" s="121"/>
      <c r="AS196" s="121"/>
      <c r="AT196" s="121"/>
      <c r="AU196" s="121"/>
      <c r="AV196" s="121"/>
      <c r="AW196" s="121"/>
      <c r="AX196" s="121"/>
      <c r="AY196" s="121"/>
      <c r="AZ196" s="121"/>
      <c r="BA196" s="121"/>
      <c r="BB196" s="121"/>
      <c r="BC196" s="121"/>
      <c r="BD196" s="121"/>
      <c r="BE196" s="121"/>
      <c r="BF196" s="121"/>
    </row>
    <row r="197" spans="13:58" hidden="1"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49"/>
      <c r="AJ197" s="151">
        <v>0.24</v>
      </c>
      <c r="AK197" s="149"/>
      <c r="AL197" s="149"/>
      <c r="AM197" s="149"/>
      <c r="AN197" s="149"/>
      <c r="AO197" s="149"/>
      <c r="AP197" s="149"/>
      <c r="AQ197" s="150"/>
      <c r="AR197" s="121"/>
      <c r="AS197" s="121"/>
      <c r="AT197" s="121"/>
      <c r="AU197" s="121"/>
      <c r="AV197" s="121"/>
      <c r="AW197" s="121"/>
      <c r="AX197" s="121"/>
      <c r="AY197" s="121"/>
      <c r="AZ197" s="121"/>
      <c r="BA197" s="121"/>
      <c r="BB197" s="121"/>
      <c r="BC197" s="121"/>
      <c r="BD197" s="121"/>
      <c r="BE197" s="121"/>
      <c r="BF197" s="121"/>
    </row>
    <row r="198" spans="13:58" hidden="1"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49"/>
      <c r="AJ198" s="151">
        <v>0.25</v>
      </c>
      <c r="AK198" s="149"/>
      <c r="AL198" s="149"/>
      <c r="AM198" s="149"/>
      <c r="AN198" s="149"/>
      <c r="AO198" s="149"/>
      <c r="AP198" s="149"/>
      <c r="AQ198" s="150"/>
      <c r="AR198" s="121"/>
      <c r="AS198" s="121"/>
      <c r="AT198" s="121"/>
      <c r="AU198" s="121"/>
      <c r="AV198" s="121"/>
      <c r="AW198" s="121"/>
      <c r="AX198" s="121"/>
      <c r="AY198" s="121"/>
      <c r="AZ198" s="121"/>
      <c r="BA198" s="121"/>
      <c r="BB198" s="121"/>
      <c r="BC198" s="121"/>
      <c r="BD198" s="121"/>
      <c r="BE198" s="121"/>
      <c r="BF198" s="121"/>
    </row>
    <row r="199" spans="13:58" hidden="1"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49"/>
      <c r="AJ199" s="151">
        <v>0.26</v>
      </c>
      <c r="AK199" s="149"/>
      <c r="AL199" s="149"/>
      <c r="AM199" s="149"/>
      <c r="AN199" s="149"/>
      <c r="AO199" s="149"/>
      <c r="AP199" s="149"/>
      <c r="AQ199" s="150"/>
      <c r="AR199" s="121"/>
      <c r="AS199" s="121"/>
      <c r="AT199" s="121"/>
      <c r="AU199" s="121"/>
      <c r="AV199" s="121"/>
      <c r="AW199" s="121"/>
      <c r="AX199" s="121"/>
      <c r="AY199" s="121"/>
      <c r="AZ199" s="121"/>
      <c r="BA199" s="121"/>
      <c r="BB199" s="121"/>
      <c r="BC199" s="121"/>
      <c r="BD199" s="121"/>
      <c r="BE199" s="121"/>
      <c r="BF199" s="121"/>
    </row>
    <row r="200" spans="13:58" hidden="1"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49"/>
      <c r="AJ200" s="151">
        <v>0.27</v>
      </c>
      <c r="AK200" s="149"/>
      <c r="AL200" s="149"/>
      <c r="AM200" s="149"/>
      <c r="AN200" s="149"/>
      <c r="AO200" s="149"/>
      <c r="AP200" s="149"/>
      <c r="AQ200" s="150"/>
      <c r="AR200" s="121"/>
      <c r="AS200" s="121"/>
      <c r="AT200" s="121"/>
      <c r="AU200" s="121"/>
      <c r="AV200" s="121"/>
      <c r="AW200" s="121"/>
      <c r="AX200" s="121"/>
      <c r="AY200" s="121"/>
      <c r="AZ200" s="121"/>
      <c r="BA200" s="121"/>
      <c r="BB200" s="121"/>
      <c r="BC200" s="121"/>
      <c r="BD200" s="121"/>
      <c r="BE200" s="121"/>
      <c r="BF200" s="121"/>
    </row>
    <row r="201" spans="13:58" hidden="1"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49"/>
      <c r="AJ201" s="151">
        <v>0.28000000000000003</v>
      </c>
      <c r="AK201" s="149"/>
      <c r="AL201" s="149"/>
      <c r="AM201" s="149"/>
      <c r="AN201" s="149"/>
      <c r="AO201" s="149"/>
      <c r="AP201" s="149"/>
      <c r="AQ201" s="150"/>
      <c r="AR201" s="121"/>
      <c r="AS201" s="121"/>
      <c r="AT201" s="121"/>
      <c r="AU201" s="121"/>
      <c r="AV201" s="121"/>
      <c r="AW201" s="121"/>
      <c r="AX201" s="121"/>
      <c r="AY201" s="121"/>
      <c r="AZ201" s="121"/>
      <c r="BA201" s="121"/>
      <c r="BB201" s="121"/>
      <c r="BC201" s="121"/>
      <c r="BD201" s="121"/>
      <c r="BE201" s="121"/>
      <c r="BF201" s="121"/>
    </row>
    <row r="202" spans="13:58" hidden="1"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49"/>
      <c r="AJ202" s="151">
        <v>0.28999999999999998</v>
      </c>
      <c r="AK202" s="149"/>
      <c r="AL202" s="149"/>
      <c r="AM202" s="149"/>
      <c r="AN202" s="149"/>
      <c r="AO202" s="149"/>
      <c r="AP202" s="149"/>
      <c r="AQ202" s="150"/>
      <c r="AR202" s="121"/>
      <c r="AS202" s="121"/>
      <c r="AT202" s="121"/>
      <c r="AU202" s="121"/>
      <c r="AV202" s="121"/>
      <c r="AW202" s="121"/>
      <c r="AX202" s="121"/>
      <c r="AY202" s="121"/>
      <c r="AZ202" s="121"/>
      <c r="BA202" s="121"/>
      <c r="BB202" s="121"/>
      <c r="BC202" s="121"/>
      <c r="BD202" s="121"/>
      <c r="BE202" s="121"/>
      <c r="BF202" s="121"/>
    </row>
    <row r="203" spans="13:58" hidden="1"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49"/>
      <c r="AJ203" s="151">
        <v>0.3</v>
      </c>
      <c r="AK203" s="149"/>
      <c r="AL203" s="149"/>
      <c r="AM203" s="149"/>
      <c r="AN203" s="149"/>
      <c r="AO203" s="149"/>
      <c r="AP203" s="149"/>
      <c r="AQ203" s="150"/>
      <c r="AR203" s="121"/>
      <c r="AS203" s="121"/>
      <c r="AT203" s="121"/>
      <c r="AU203" s="121"/>
      <c r="AV203" s="121"/>
      <c r="AW203" s="121"/>
      <c r="AX203" s="121"/>
      <c r="AY203" s="121"/>
      <c r="AZ203" s="121"/>
      <c r="BA203" s="121"/>
      <c r="BB203" s="121"/>
      <c r="BC203" s="121"/>
      <c r="BD203" s="121"/>
      <c r="BE203" s="121"/>
      <c r="BF203" s="121"/>
    </row>
    <row r="204" spans="13:58" hidden="1"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49"/>
      <c r="AJ204" s="151">
        <v>0.31</v>
      </c>
      <c r="AK204" s="149"/>
      <c r="AL204" s="149"/>
      <c r="AM204" s="149"/>
      <c r="AN204" s="149"/>
      <c r="AO204" s="149"/>
      <c r="AP204" s="149"/>
      <c r="AQ204" s="150"/>
      <c r="AR204" s="121"/>
      <c r="AS204" s="121"/>
      <c r="AT204" s="121"/>
      <c r="AU204" s="121"/>
      <c r="AV204" s="121"/>
      <c r="AW204" s="121"/>
      <c r="AX204" s="121"/>
      <c r="AY204" s="121"/>
      <c r="AZ204" s="121"/>
      <c r="BA204" s="121"/>
      <c r="BB204" s="121"/>
      <c r="BC204" s="121"/>
      <c r="BD204" s="121"/>
      <c r="BE204" s="121"/>
      <c r="BF204" s="121"/>
    </row>
    <row r="205" spans="13:58" hidden="1"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49"/>
      <c r="AJ205" s="151">
        <v>0.32</v>
      </c>
      <c r="AK205" s="149"/>
      <c r="AL205" s="149"/>
      <c r="AM205" s="149"/>
      <c r="AN205" s="149"/>
      <c r="AO205" s="149"/>
      <c r="AP205" s="149"/>
      <c r="AQ205" s="150"/>
      <c r="AR205" s="121"/>
      <c r="AS205" s="121"/>
      <c r="AT205" s="121"/>
      <c r="AU205" s="121"/>
      <c r="AV205" s="121"/>
      <c r="AW205" s="121"/>
      <c r="AX205" s="121"/>
      <c r="AY205" s="121"/>
      <c r="AZ205" s="121"/>
      <c r="BA205" s="121"/>
      <c r="BB205" s="121"/>
      <c r="BC205" s="121"/>
      <c r="BD205" s="121"/>
      <c r="BE205" s="121"/>
      <c r="BF205" s="121"/>
    </row>
    <row r="206" spans="13:58" hidden="1"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49"/>
      <c r="AJ206" s="151">
        <v>0.33</v>
      </c>
      <c r="AK206" s="149"/>
      <c r="AL206" s="149"/>
      <c r="AM206" s="149"/>
      <c r="AN206" s="149"/>
      <c r="AO206" s="149"/>
      <c r="AP206" s="149"/>
      <c r="AQ206" s="150"/>
      <c r="AR206" s="121"/>
      <c r="AS206" s="121"/>
      <c r="AT206" s="121"/>
      <c r="AU206" s="121"/>
      <c r="AV206" s="121"/>
      <c r="AW206" s="121"/>
      <c r="AX206" s="121"/>
      <c r="AY206" s="121"/>
      <c r="AZ206" s="121"/>
      <c r="BA206" s="121"/>
      <c r="BB206" s="121"/>
      <c r="BC206" s="121"/>
      <c r="BD206" s="121"/>
      <c r="BE206" s="121"/>
      <c r="BF206" s="121"/>
    </row>
    <row r="207" spans="13:58" hidden="1"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49"/>
      <c r="AJ207" s="151">
        <v>0.34</v>
      </c>
      <c r="AK207" s="149"/>
      <c r="AL207" s="149"/>
      <c r="AM207" s="149"/>
      <c r="AN207" s="149"/>
      <c r="AO207" s="149"/>
      <c r="AP207" s="149"/>
      <c r="AQ207" s="150"/>
      <c r="AR207" s="121"/>
      <c r="AS207" s="121"/>
      <c r="AT207" s="121"/>
      <c r="AU207" s="121"/>
      <c r="AV207" s="121"/>
      <c r="AW207" s="121"/>
      <c r="AX207" s="121"/>
      <c r="AY207" s="121"/>
      <c r="AZ207" s="121"/>
      <c r="BA207" s="121"/>
      <c r="BB207" s="121"/>
      <c r="BC207" s="121"/>
      <c r="BD207" s="121"/>
      <c r="BE207" s="121"/>
      <c r="BF207" s="121"/>
    </row>
    <row r="208" spans="13:58" hidden="1"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49"/>
      <c r="AJ208" s="151">
        <v>0.35</v>
      </c>
      <c r="AK208" s="149"/>
      <c r="AL208" s="149"/>
      <c r="AM208" s="149"/>
      <c r="AN208" s="149"/>
      <c r="AO208" s="149"/>
      <c r="AP208" s="149"/>
      <c r="AQ208" s="150"/>
      <c r="AR208" s="121"/>
      <c r="AS208" s="121"/>
      <c r="AT208" s="121"/>
      <c r="AU208" s="121"/>
      <c r="AV208" s="121"/>
      <c r="AW208" s="121"/>
      <c r="AX208" s="121"/>
      <c r="AY208" s="121"/>
      <c r="AZ208" s="121"/>
      <c r="BA208" s="121"/>
      <c r="BB208" s="121"/>
      <c r="BC208" s="121"/>
      <c r="BD208" s="121"/>
      <c r="BE208" s="121"/>
      <c r="BF208" s="121"/>
    </row>
    <row r="209" spans="13:58" hidden="1"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49"/>
      <c r="AJ209" s="151">
        <v>0.36</v>
      </c>
      <c r="AK209" s="149"/>
      <c r="AL209" s="149"/>
      <c r="AM209" s="149"/>
      <c r="AN209" s="149"/>
      <c r="AO209" s="149"/>
      <c r="AP209" s="149"/>
      <c r="AQ209" s="150"/>
      <c r="AR209" s="121"/>
      <c r="AS209" s="121"/>
      <c r="AT209" s="121"/>
      <c r="AU209" s="121"/>
      <c r="AV209" s="121"/>
      <c r="AW209" s="121"/>
      <c r="AX209" s="121"/>
      <c r="AY209" s="121"/>
      <c r="AZ209" s="121"/>
      <c r="BA209" s="121"/>
      <c r="BB209" s="121"/>
      <c r="BC209" s="121"/>
      <c r="BD209" s="121"/>
      <c r="BE209" s="121"/>
      <c r="BF209" s="121"/>
    </row>
    <row r="210" spans="13:58" hidden="1"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49"/>
      <c r="AJ210" s="151">
        <v>0.37</v>
      </c>
      <c r="AK210" s="149"/>
      <c r="AL210" s="149"/>
      <c r="AM210" s="149"/>
      <c r="AN210" s="149"/>
      <c r="AO210" s="149"/>
      <c r="AP210" s="149"/>
      <c r="AQ210" s="150"/>
      <c r="AR210" s="121"/>
      <c r="AS210" s="121"/>
      <c r="AT210" s="121"/>
      <c r="AU210" s="121"/>
      <c r="AV210" s="121"/>
      <c r="AW210" s="121"/>
      <c r="AX210" s="121"/>
      <c r="AY210" s="121"/>
      <c r="AZ210" s="121"/>
      <c r="BA210" s="121"/>
      <c r="BB210" s="121"/>
      <c r="BC210" s="121"/>
      <c r="BD210" s="121"/>
      <c r="BE210" s="121"/>
      <c r="BF210" s="121"/>
    </row>
    <row r="211" spans="13:58" hidden="1"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49"/>
      <c r="AJ211" s="151">
        <v>0.38</v>
      </c>
      <c r="AK211" s="149"/>
      <c r="AL211" s="149"/>
      <c r="AM211" s="149"/>
      <c r="AN211" s="149"/>
      <c r="AO211" s="149"/>
      <c r="AP211" s="149"/>
      <c r="AQ211" s="150"/>
      <c r="AR211" s="121"/>
      <c r="AS211" s="121"/>
      <c r="AT211" s="121"/>
      <c r="AU211" s="121"/>
      <c r="AV211" s="121"/>
      <c r="AW211" s="121"/>
      <c r="AX211" s="121"/>
      <c r="AY211" s="121"/>
      <c r="AZ211" s="121"/>
      <c r="BA211" s="121"/>
      <c r="BB211" s="121"/>
      <c r="BC211" s="121"/>
      <c r="BD211" s="121"/>
      <c r="BE211" s="121"/>
      <c r="BF211" s="121"/>
    </row>
    <row r="212" spans="13:58" hidden="1"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49"/>
      <c r="AJ212" s="151">
        <v>0.39</v>
      </c>
      <c r="AK212" s="149"/>
      <c r="AL212" s="149"/>
      <c r="AM212" s="149"/>
      <c r="AN212" s="149"/>
      <c r="AO212" s="149"/>
      <c r="AP212" s="149"/>
      <c r="AQ212" s="150"/>
      <c r="AR212" s="121"/>
      <c r="AS212" s="121"/>
      <c r="AT212" s="121"/>
      <c r="AU212" s="121"/>
      <c r="AV212" s="121"/>
      <c r="AW212" s="121"/>
      <c r="AX212" s="121"/>
      <c r="AY212" s="121"/>
      <c r="AZ212" s="121"/>
      <c r="BA212" s="121"/>
      <c r="BB212" s="121"/>
      <c r="BC212" s="121"/>
      <c r="BD212" s="121"/>
      <c r="BE212" s="121"/>
      <c r="BF212" s="121"/>
    </row>
    <row r="213" spans="13:58" hidden="1"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49"/>
      <c r="AJ213" s="151">
        <v>0.4</v>
      </c>
      <c r="AK213" s="149"/>
      <c r="AL213" s="149"/>
      <c r="AM213" s="149"/>
      <c r="AN213" s="149"/>
      <c r="AO213" s="149"/>
      <c r="AP213" s="149"/>
      <c r="AQ213" s="150"/>
      <c r="AR213" s="121"/>
      <c r="AS213" s="121"/>
      <c r="AT213" s="121"/>
      <c r="AU213" s="121"/>
      <c r="AV213" s="121"/>
      <c r="AW213" s="121"/>
      <c r="AX213" s="121"/>
      <c r="AY213" s="121"/>
      <c r="AZ213" s="121"/>
      <c r="BA213" s="121"/>
      <c r="BB213" s="121"/>
      <c r="BC213" s="121"/>
      <c r="BD213" s="121"/>
      <c r="BE213" s="121"/>
      <c r="BF213" s="121"/>
    </row>
    <row r="214" spans="13:58" hidden="1"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49"/>
      <c r="AJ214" s="151">
        <v>0.41</v>
      </c>
      <c r="AK214" s="149"/>
      <c r="AL214" s="149"/>
      <c r="AM214" s="149"/>
      <c r="AN214" s="149"/>
      <c r="AO214" s="149"/>
      <c r="AP214" s="149"/>
      <c r="AQ214" s="150"/>
      <c r="AR214" s="121"/>
      <c r="AS214" s="121"/>
      <c r="AT214" s="121"/>
      <c r="AU214" s="121"/>
      <c r="AV214" s="121"/>
      <c r="AW214" s="121"/>
      <c r="AX214" s="121"/>
      <c r="AY214" s="121"/>
      <c r="AZ214" s="121"/>
      <c r="BA214" s="121"/>
      <c r="BB214" s="121"/>
      <c r="BC214" s="121"/>
      <c r="BD214" s="121"/>
      <c r="BE214" s="121"/>
      <c r="BF214" s="121"/>
    </row>
    <row r="215" spans="13:58" hidden="1"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49"/>
      <c r="AJ215" s="151">
        <v>0.42</v>
      </c>
      <c r="AK215" s="149"/>
      <c r="AL215" s="149"/>
      <c r="AM215" s="149"/>
      <c r="AN215" s="149"/>
      <c r="AO215" s="149"/>
      <c r="AP215" s="149"/>
      <c r="AQ215" s="150"/>
      <c r="AR215" s="121"/>
      <c r="AS215" s="121"/>
      <c r="AT215" s="121"/>
      <c r="AU215" s="121"/>
      <c r="AV215" s="121"/>
      <c r="AW215" s="121"/>
      <c r="AX215" s="121"/>
      <c r="AY215" s="121"/>
      <c r="AZ215" s="121"/>
      <c r="BA215" s="121"/>
      <c r="BB215" s="121"/>
      <c r="BC215" s="121"/>
      <c r="BD215" s="121"/>
      <c r="BE215" s="121"/>
      <c r="BF215" s="121"/>
    </row>
    <row r="216" spans="13:58" hidden="1"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49"/>
      <c r="AJ216" s="151">
        <v>0.43</v>
      </c>
      <c r="AK216" s="149"/>
      <c r="AL216" s="149"/>
      <c r="AM216" s="149"/>
      <c r="AN216" s="149"/>
      <c r="AO216" s="149"/>
      <c r="AP216" s="149"/>
      <c r="AQ216" s="150"/>
      <c r="AR216" s="121"/>
      <c r="AS216" s="121"/>
      <c r="AT216" s="121"/>
      <c r="AU216" s="121"/>
      <c r="AV216" s="121"/>
      <c r="AW216" s="121"/>
      <c r="AX216" s="121"/>
      <c r="AY216" s="121"/>
      <c r="AZ216" s="121"/>
      <c r="BA216" s="121"/>
      <c r="BB216" s="121"/>
      <c r="BC216" s="121"/>
      <c r="BD216" s="121"/>
      <c r="BE216" s="121"/>
      <c r="BF216" s="121"/>
    </row>
    <row r="217" spans="13:58" hidden="1"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49"/>
      <c r="AJ217" s="151">
        <v>0.44</v>
      </c>
      <c r="AK217" s="149"/>
      <c r="AL217" s="149"/>
      <c r="AM217" s="149"/>
      <c r="AN217" s="149"/>
      <c r="AO217" s="149"/>
      <c r="AP217" s="149"/>
      <c r="AQ217" s="150"/>
      <c r="AR217" s="121"/>
      <c r="AS217" s="121"/>
      <c r="AT217" s="121"/>
      <c r="AU217" s="121"/>
      <c r="AV217" s="121"/>
      <c r="AW217" s="121"/>
      <c r="AX217" s="121"/>
      <c r="AY217" s="121"/>
      <c r="AZ217" s="121"/>
      <c r="BA217" s="121"/>
      <c r="BB217" s="121"/>
      <c r="BC217" s="121"/>
      <c r="BD217" s="121"/>
      <c r="BE217" s="121"/>
      <c r="BF217" s="121"/>
    </row>
    <row r="218" spans="13:58" hidden="1"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49"/>
      <c r="AJ218" s="151">
        <v>0.45</v>
      </c>
      <c r="AK218" s="149"/>
      <c r="AL218" s="149"/>
      <c r="AM218" s="149"/>
      <c r="AN218" s="149"/>
      <c r="AO218" s="149"/>
      <c r="AP218" s="149"/>
      <c r="AQ218" s="150"/>
      <c r="AR218" s="121"/>
      <c r="AS218" s="121"/>
      <c r="AT218" s="121"/>
      <c r="AU218" s="121"/>
      <c r="AV218" s="121"/>
      <c r="AW218" s="121"/>
      <c r="AX218" s="121"/>
      <c r="AY218" s="121"/>
      <c r="AZ218" s="121"/>
      <c r="BA218" s="121"/>
      <c r="BB218" s="121"/>
      <c r="BC218" s="121"/>
      <c r="BD218" s="121"/>
      <c r="BE218" s="121"/>
      <c r="BF218" s="121"/>
    </row>
    <row r="219" spans="13:58" hidden="1"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49"/>
      <c r="AJ219" s="151">
        <v>0.46</v>
      </c>
      <c r="AK219" s="149"/>
      <c r="AL219" s="149"/>
      <c r="AM219" s="149"/>
      <c r="AN219" s="149"/>
      <c r="AO219" s="149"/>
      <c r="AP219" s="149"/>
      <c r="AQ219" s="150"/>
      <c r="AR219" s="121"/>
      <c r="AS219" s="121"/>
      <c r="AT219" s="121"/>
      <c r="AU219" s="121"/>
      <c r="AV219" s="121"/>
      <c r="AW219" s="121"/>
      <c r="AX219" s="121"/>
      <c r="AY219" s="121"/>
      <c r="AZ219" s="121"/>
      <c r="BA219" s="121"/>
      <c r="BB219" s="121"/>
      <c r="BC219" s="121"/>
      <c r="BD219" s="121"/>
      <c r="BE219" s="121"/>
      <c r="BF219" s="121"/>
    </row>
    <row r="220" spans="13:58" hidden="1"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49"/>
      <c r="AJ220" s="151">
        <v>0.47</v>
      </c>
      <c r="AK220" s="149"/>
      <c r="AL220" s="149"/>
      <c r="AM220" s="149"/>
      <c r="AN220" s="149"/>
      <c r="AO220" s="149"/>
      <c r="AP220" s="149"/>
      <c r="AQ220" s="150"/>
      <c r="AR220" s="121"/>
      <c r="AS220" s="121"/>
      <c r="AT220" s="121"/>
      <c r="AU220" s="121"/>
      <c r="AV220" s="121"/>
      <c r="AW220" s="121"/>
      <c r="AX220" s="121"/>
      <c r="AY220" s="121"/>
      <c r="AZ220" s="121"/>
      <c r="BA220" s="121"/>
      <c r="BB220" s="121"/>
      <c r="BC220" s="121"/>
      <c r="BD220" s="121"/>
      <c r="BE220" s="121"/>
      <c r="BF220" s="121"/>
    </row>
    <row r="221" spans="13:58" hidden="1"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49"/>
      <c r="AJ221" s="151">
        <v>0.48</v>
      </c>
      <c r="AK221" s="149"/>
      <c r="AL221" s="149"/>
      <c r="AM221" s="149"/>
      <c r="AN221" s="149"/>
      <c r="AO221" s="149"/>
      <c r="AP221" s="149"/>
      <c r="AQ221" s="150"/>
      <c r="AR221" s="121"/>
      <c r="AS221" s="121"/>
      <c r="AT221" s="121"/>
      <c r="AU221" s="121"/>
      <c r="AV221" s="121"/>
      <c r="AW221" s="121"/>
      <c r="AX221" s="121"/>
      <c r="AY221" s="121"/>
      <c r="AZ221" s="121"/>
      <c r="BA221" s="121"/>
      <c r="BB221" s="121"/>
      <c r="BC221" s="121"/>
      <c r="BD221" s="121"/>
      <c r="BE221" s="121"/>
      <c r="BF221" s="121"/>
    </row>
    <row r="222" spans="13:58" hidden="1"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49"/>
      <c r="AJ222" s="151">
        <v>0.49</v>
      </c>
      <c r="AK222" s="149"/>
      <c r="AL222" s="149"/>
      <c r="AM222" s="149"/>
      <c r="AN222" s="149"/>
      <c r="AO222" s="149"/>
      <c r="AP222" s="149"/>
      <c r="AQ222" s="150"/>
      <c r="AR222" s="121"/>
      <c r="AS222" s="121"/>
      <c r="AT222" s="121"/>
      <c r="AU222" s="121"/>
      <c r="AV222" s="121"/>
      <c r="AW222" s="121"/>
      <c r="AX222" s="121"/>
      <c r="AY222" s="121"/>
      <c r="AZ222" s="121"/>
      <c r="BA222" s="121"/>
      <c r="BB222" s="121"/>
      <c r="BC222" s="121"/>
      <c r="BD222" s="121"/>
      <c r="BE222" s="121"/>
      <c r="BF222" s="121"/>
    </row>
    <row r="223" spans="13:58" hidden="1"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49"/>
      <c r="AJ223" s="151">
        <v>0.5</v>
      </c>
      <c r="AK223" s="149"/>
      <c r="AL223" s="149"/>
      <c r="AM223" s="149"/>
      <c r="AN223" s="149"/>
      <c r="AO223" s="149"/>
      <c r="AP223" s="149"/>
      <c r="AQ223" s="150"/>
      <c r="AR223" s="121"/>
      <c r="AS223" s="121"/>
      <c r="AT223" s="121"/>
      <c r="AU223" s="121"/>
      <c r="AV223" s="121"/>
      <c r="AW223" s="121"/>
      <c r="AX223" s="121"/>
      <c r="AY223" s="121"/>
      <c r="AZ223" s="121"/>
      <c r="BA223" s="121"/>
      <c r="BB223" s="121"/>
      <c r="BC223" s="121"/>
      <c r="BD223" s="121"/>
      <c r="BE223" s="121"/>
      <c r="BF223" s="121"/>
    </row>
    <row r="224" spans="13:58" hidden="1"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49"/>
      <c r="AJ224" s="151">
        <v>0.51</v>
      </c>
      <c r="AK224" s="149"/>
      <c r="AL224" s="149"/>
      <c r="AM224" s="149"/>
      <c r="AN224" s="149"/>
      <c r="AO224" s="149"/>
      <c r="AP224" s="149"/>
      <c r="AQ224" s="150"/>
      <c r="AR224" s="121"/>
      <c r="AS224" s="121"/>
      <c r="AT224" s="121"/>
      <c r="AU224" s="121"/>
      <c r="AV224" s="121"/>
      <c r="AW224" s="121"/>
      <c r="AX224" s="121"/>
      <c r="AY224" s="121"/>
      <c r="AZ224" s="121"/>
      <c r="BA224" s="121"/>
      <c r="BB224" s="121"/>
      <c r="BC224" s="121"/>
      <c r="BD224" s="121"/>
      <c r="BE224" s="121"/>
      <c r="BF224" s="121"/>
    </row>
    <row r="225" spans="13:58" hidden="1"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49"/>
      <c r="AJ225" s="151">
        <v>0.52</v>
      </c>
      <c r="AK225" s="149"/>
      <c r="AL225" s="149"/>
      <c r="AM225" s="149"/>
      <c r="AN225" s="149"/>
      <c r="AO225" s="149"/>
      <c r="AP225" s="149"/>
      <c r="AQ225" s="150"/>
      <c r="AR225" s="121"/>
      <c r="AS225" s="121"/>
      <c r="AT225" s="121"/>
      <c r="AU225" s="121"/>
      <c r="AV225" s="121"/>
      <c r="AW225" s="121"/>
      <c r="AX225" s="121"/>
      <c r="AY225" s="121"/>
      <c r="AZ225" s="121"/>
      <c r="BA225" s="121"/>
      <c r="BB225" s="121"/>
      <c r="BC225" s="121"/>
      <c r="BD225" s="121"/>
      <c r="BE225" s="121"/>
      <c r="BF225" s="121"/>
    </row>
    <row r="226" spans="13:58" hidden="1"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49"/>
      <c r="AJ226" s="151">
        <v>0.53</v>
      </c>
      <c r="AK226" s="149"/>
      <c r="AL226" s="149"/>
      <c r="AM226" s="149"/>
      <c r="AN226" s="149"/>
      <c r="AO226" s="149"/>
      <c r="AP226" s="149"/>
      <c r="AQ226" s="150"/>
      <c r="AR226" s="121"/>
      <c r="AS226" s="121"/>
      <c r="AT226" s="121"/>
      <c r="AU226" s="121"/>
      <c r="AV226" s="121"/>
      <c r="AW226" s="121"/>
      <c r="AX226" s="121"/>
      <c r="AY226" s="121"/>
      <c r="AZ226" s="121"/>
      <c r="BA226" s="121"/>
      <c r="BB226" s="121"/>
      <c r="BC226" s="121"/>
      <c r="BD226" s="121"/>
      <c r="BE226" s="121"/>
      <c r="BF226" s="121"/>
    </row>
    <row r="227" spans="13:58" hidden="1"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49"/>
      <c r="AJ227" s="151">
        <v>0.54</v>
      </c>
      <c r="AK227" s="149"/>
      <c r="AL227" s="149"/>
      <c r="AM227" s="149"/>
      <c r="AN227" s="149"/>
      <c r="AO227" s="149"/>
      <c r="AP227" s="149"/>
      <c r="AQ227" s="150"/>
      <c r="AR227" s="121"/>
      <c r="AS227" s="121"/>
      <c r="AT227" s="121"/>
      <c r="AU227" s="121"/>
      <c r="AV227" s="121"/>
      <c r="AW227" s="121"/>
      <c r="AX227" s="121"/>
      <c r="AY227" s="121"/>
      <c r="AZ227" s="121"/>
      <c r="BA227" s="121"/>
      <c r="BB227" s="121"/>
      <c r="BC227" s="121"/>
      <c r="BD227" s="121"/>
      <c r="BE227" s="121"/>
      <c r="BF227" s="121"/>
    </row>
    <row r="228" spans="13:58" hidden="1"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49"/>
      <c r="AJ228" s="151">
        <v>0.55000000000000004</v>
      </c>
      <c r="AK228" s="149"/>
      <c r="AL228" s="149"/>
      <c r="AM228" s="149"/>
      <c r="AN228" s="149"/>
      <c r="AO228" s="149"/>
      <c r="AP228" s="149"/>
      <c r="AQ228" s="150"/>
      <c r="AR228" s="121"/>
      <c r="AS228" s="121"/>
      <c r="AT228" s="121"/>
      <c r="AU228" s="121"/>
      <c r="AV228" s="121"/>
      <c r="AW228" s="121"/>
      <c r="AX228" s="121"/>
      <c r="AY228" s="121"/>
      <c r="AZ228" s="121"/>
      <c r="BA228" s="121"/>
      <c r="BB228" s="121"/>
      <c r="BC228" s="121"/>
      <c r="BD228" s="121"/>
      <c r="BE228" s="121"/>
      <c r="BF228" s="121"/>
    </row>
    <row r="229" spans="13:58" hidden="1"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49"/>
      <c r="AJ229" s="151">
        <v>0.56000000000000005</v>
      </c>
      <c r="AK229" s="149"/>
      <c r="AL229" s="149"/>
      <c r="AM229" s="149"/>
      <c r="AN229" s="149"/>
      <c r="AO229" s="149"/>
      <c r="AP229" s="149"/>
      <c r="AQ229" s="150"/>
      <c r="AR229" s="121"/>
      <c r="AS229" s="121"/>
      <c r="AT229" s="121"/>
      <c r="AU229" s="121"/>
      <c r="AV229" s="121"/>
      <c r="AW229" s="121"/>
      <c r="AX229" s="121"/>
      <c r="AY229" s="121"/>
      <c r="AZ229" s="121"/>
      <c r="BA229" s="121"/>
      <c r="BB229" s="121"/>
      <c r="BC229" s="121"/>
      <c r="BD229" s="121"/>
      <c r="BE229" s="121"/>
      <c r="BF229" s="121"/>
    </row>
    <row r="230" spans="13:58" hidden="1"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49"/>
      <c r="AJ230" s="151">
        <v>0.56999999999999995</v>
      </c>
      <c r="AK230" s="149"/>
      <c r="AL230" s="149"/>
      <c r="AM230" s="149"/>
      <c r="AN230" s="149"/>
      <c r="AO230" s="149"/>
      <c r="AP230" s="149"/>
      <c r="AQ230" s="150"/>
      <c r="AR230" s="121"/>
      <c r="AS230" s="121"/>
      <c r="AT230" s="121"/>
      <c r="AU230" s="121"/>
      <c r="AV230" s="121"/>
      <c r="AW230" s="121"/>
      <c r="AX230" s="121"/>
      <c r="AY230" s="121"/>
      <c r="AZ230" s="121"/>
      <c r="BA230" s="121"/>
      <c r="BB230" s="121"/>
      <c r="BC230" s="121"/>
      <c r="BD230" s="121"/>
      <c r="BE230" s="121"/>
      <c r="BF230" s="121"/>
    </row>
    <row r="231" spans="13:58" hidden="1"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49"/>
      <c r="AJ231" s="151">
        <v>0.57999999999999996</v>
      </c>
      <c r="AK231" s="149"/>
      <c r="AL231" s="149"/>
      <c r="AM231" s="149"/>
      <c r="AN231" s="149"/>
      <c r="AO231" s="149"/>
      <c r="AP231" s="149"/>
      <c r="AQ231" s="150"/>
      <c r="AR231" s="121"/>
      <c r="AS231" s="121"/>
      <c r="AT231" s="121"/>
      <c r="AU231" s="121"/>
      <c r="AV231" s="121"/>
      <c r="AW231" s="121"/>
      <c r="AX231" s="121"/>
      <c r="AY231" s="121"/>
      <c r="AZ231" s="121"/>
      <c r="BA231" s="121"/>
      <c r="BB231" s="121"/>
      <c r="BC231" s="121"/>
      <c r="BD231" s="121"/>
      <c r="BE231" s="121"/>
      <c r="BF231" s="121"/>
    </row>
    <row r="232" spans="13:58" hidden="1"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49"/>
      <c r="AJ232" s="151">
        <v>0.59</v>
      </c>
      <c r="AK232" s="149"/>
      <c r="AL232" s="149"/>
      <c r="AM232" s="149"/>
      <c r="AN232" s="149"/>
      <c r="AO232" s="149"/>
      <c r="AP232" s="149"/>
      <c r="AQ232" s="150"/>
      <c r="AR232" s="121"/>
      <c r="AS232" s="121"/>
      <c r="AT232" s="121"/>
      <c r="AU232" s="121"/>
      <c r="AV232" s="121"/>
      <c r="AW232" s="121"/>
      <c r="AX232" s="121"/>
      <c r="AY232" s="121"/>
      <c r="AZ232" s="121"/>
      <c r="BA232" s="121"/>
      <c r="BB232" s="121"/>
      <c r="BC232" s="121"/>
      <c r="BD232" s="121"/>
      <c r="BE232" s="121"/>
      <c r="BF232" s="121"/>
    </row>
    <row r="233" spans="13:58" hidden="1"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49"/>
      <c r="AJ233" s="151">
        <v>0.6</v>
      </c>
      <c r="AK233" s="149"/>
      <c r="AL233" s="149"/>
      <c r="AM233" s="149"/>
      <c r="AN233" s="149"/>
      <c r="AO233" s="149"/>
      <c r="AP233" s="149"/>
      <c r="AQ233" s="150"/>
      <c r="AR233" s="121"/>
      <c r="AS233" s="121"/>
      <c r="AT233" s="121"/>
      <c r="AU233" s="121"/>
      <c r="AV233" s="121"/>
      <c r="AW233" s="121"/>
      <c r="AX233" s="121"/>
      <c r="AY233" s="121"/>
      <c r="AZ233" s="121"/>
      <c r="BA233" s="121"/>
      <c r="BB233" s="121"/>
      <c r="BC233" s="121"/>
      <c r="BD233" s="121"/>
      <c r="BE233" s="121"/>
      <c r="BF233" s="121"/>
    </row>
    <row r="234" spans="13:58" hidden="1"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49"/>
      <c r="AJ234" s="151">
        <v>0.61</v>
      </c>
      <c r="AK234" s="149"/>
      <c r="AL234" s="149"/>
      <c r="AM234" s="149"/>
      <c r="AN234" s="149"/>
      <c r="AO234" s="149"/>
      <c r="AP234" s="149"/>
      <c r="AQ234" s="150"/>
      <c r="AR234" s="121"/>
      <c r="AS234" s="121"/>
      <c r="AT234" s="121"/>
      <c r="AU234" s="121"/>
      <c r="AV234" s="121"/>
      <c r="AW234" s="121"/>
      <c r="AX234" s="121"/>
      <c r="AY234" s="121"/>
      <c r="AZ234" s="121"/>
      <c r="BA234" s="121"/>
      <c r="BB234" s="121"/>
      <c r="BC234" s="121"/>
      <c r="BD234" s="121"/>
      <c r="BE234" s="121"/>
      <c r="BF234" s="121"/>
    </row>
    <row r="235" spans="13:58" hidden="1"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49"/>
      <c r="AJ235" s="151">
        <v>0.62</v>
      </c>
      <c r="AK235" s="149"/>
      <c r="AL235" s="149"/>
      <c r="AM235" s="149"/>
      <c r="AN235" s="149"/>
      <c r="AO235" s="149"/>
      <c r="AP235" s="149"/>
      <c r="AQ235" s="150"/>
      <c r="AR235" s="121"/>
      <c r="AS235" s="121"/>
      <c r="AT235" s="121"/>
      <c r="AU235" s="121"/>
      <c r="AV235" s="121"/>
      <c r="AW235" s="121"/>
      <c r="AX235" s="121"/>
      <c r="AY235" s="121"/>
      <c r="AZ235" s="121"/>
      <c r="BA235" s="121"/>
      <c r="BB235" s="121"/>
      <c r="BC235" s="121"/>
      <c r="BD235" s="121"/>
      <c r="BE235" s="121"/>
      <c r="BF235" s="121"/>
    </row>
    <row r="236" spans="13:58" hidden="1"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49"/>
      <c r="AJ236" s="151">
        <v>0.63</v>
      </c>
      <c r="AK236" s="149"/>
      <c r="AL236" s="149"/>
      <c r="AM236" s="149"/>
      <c r="AN236" s="149"/>
      <c r="AO236" s="149"/>
      <c r="AP236" s="149"/>
      <c r="AQ236" s="150"/>
      <c r="AR236" s="121"/>
      <c r="AS236" s="121"/>
      <c r="AT236" s="121"/>
      <c r="AU236" s="121"/>
      <c r="AV236" s="121"/>
      <c r="AW236" s="121"/>
      <c r="AX236" s="121"/>
      <c r="AY236" s="121"/>
      <c r="AZ236" s="121"/>
      <c r="BA236" s="121"/>
      <c r="BB236" s="121"/>
      <c r="BC236" s="121"/>
      <c r="BD236" s="121"/>
      <c r="BE236" s="121"/>
      <c r="BF236" s="121"/>
    </row>
    <row r="237" spans="13:58" hidden="1"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49"/>
      <c r="AJ237" s="151">
        <v>0.64</v>
      </c>
      <c r="AK237" s="149"/>
      <c r="AL237" s="149"/>
      <c r="AM237" s="149"/>
      <c r="AN237" s="149"/>
      <c r="AO237" s="149"/>
      <c r="AP237" s="149"/>
      <c r="AQ237" s="150"/>
      <c r="AR237" s="121"/>
      <c r="AS237" s="121"/>
      <c r="AT237" s="121"/>
      <c r="AU237" s="121"/>
      <c r="AV237" s="121"/>
      <c r="AW237" s="121"/>
      <c r="AX237" s="121"/>
      <c r="AY237" s="121"/>
      <c r="AZ237" s="121"/>
      <c r="BA237" s="121"/>
      <c r="BB237" s="121"/>
      <c r="BC237" s="121"/>
      <c r="BD237" s="121"/>
      <c r="BE237" s="121"/>
      <c r="BF237" s="121"/>
    </row>
    <row r="238" spans="13:58" hidden="1"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49"/>
      <c r="AJ238" s="151">
        <v>0.65</v>
      </c>
      <c r="AK238" s="149"/>
      <c r="AL238" s="149"/>
      <c r="AM238" s="149"/>
      <c r="AN238" s="149"/>
      <c r="AO238" s="149"/>
      <c r="AP238" s="149"/>
      <c r="AQ238" s="150"/>
      <c r="AR238" s="121"/>
      <c r="AS238" s="121"/>
      <c r="AT238" s="121"/>
      <c r="AU238" s="121"/>
      <c r="AV238" s="121"/>
      <c r="AW238" s="121"/>
      <c r="AX238" s="121"/>
      <c r="AY238" s="121"/>
      <c r="AZ238" s="121"/>
      <c r="BA238" s="121"/>
      <c r="BB238" s="121"/>
      <c r="BC238" s="121"/>
      <c r="BD238" s="121"/>
      <c r="BE238" s="121"/>
      <c r="BF238" s="121"/>
    </row>
    <row r="239" spans="13:58" hidden="1"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49"/>
      <c r="AJ239" s="151">
        <v>0.66</v>
      </c>
      <c r="AK239" s="149"/>
      <c r="AL239" s="149"/>
      <c r="AM239" s="149"/>
      <c r="AN239" s="149"/>
      <c r="AO239" s="149"/>
      <c r="AP239" s="149"/>
      <c r="AQ239" s="150"/>
      <c r="AR239" s="121"/>
      <c r="AS239" s="121"/>
      <c r="AT239" s="121"/>
      <c r="AU239" s="121"/>
      <c r="AV239" s="121"/>
      <c r="AW239" s="121"/>
      <c r="AX239" s="121"/>
      <c r="AY239" s="121"/>
      <c r="AZ239" s="121"/>
      <c r="BA239" s="121"/>
      <c r="BB239" s="121"/>
      <c r="BC239" s="121"/>
      <c r="BD239" s="121"/>
      <c r="BE239" s="121"/>
      <c r="BF239" s="121"/>
    </row>
    <row r="240" spans="13:58" hidden="1"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49"/>
      <c r="AJ240" s="151">
        <v>0.67</v>
      </c>
      <c r="AK240" s="149"/>
      <c r="AL240" s="149"/>
      <c r="AM240" s="149"/>
      <c r="AN240" s="149"/>
      <c r="AO240" s="149"/>
      <c r="AP240" s="149"/>
      <c r="AQ240" s="150"/>
      <c r="AR240" s="121"/>
      <c r="AS240" s="121"/>
      <c r="AT240" s="121"/>
      <c r="AU240" s="121"/>
      <c r="AV240" s="121"/>
      <c r="AW240" s="121"/>
      <c r="AX240" s="121"/>
      <c r="AY240" s="121"/>
      <c r="AZ240" s="121"/>
      <c r="BA240" s="121"/>
      <c r="BB240" s="121"/>
      <c r="BC240" s="121"/>
      <c r="BD240" s="121"/>
      <c r="BE240" s="121"/>
      <c r="BF240" s="121"/>
    </row>
    <row r="241" spans="13:58" hidden="1"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49"/>
      <c r="AJ241" s="151">
        <v>0.68</v>
      </c>
      <c r="AK241" s="149"/>
      <c r="AL241" s="149"/>
      <c r="AM241" s="149"/>
      <c r="AN241" s="149"/>
      <c r="AO241" s="149"/>
      <c r="AP241" s="149"/>
      <c r="AQ241" s="150"/>
      <c r="AR241" s="121"/>
      <c r="AS241" s="121"/>
      <c r="AT241" s="121"/>
      <c r="AU241" s="121"/>
      <c r="AV241" s="121"/>
      <c r="AW241" s="121"/>
      <c r="AX241" s="121"/>
      <c r="AY241" s="121"/>
      <c r="AZ241" s="121"/>
      <c r="BA241" s="121"/>
      <c r="BB241" s="121"/>
      <c r="BC241" s="121"/>
      <c r="BD241" s="121"/>
      <c r="BE241" s="121"/>
      <c r="BF241" s="121"/>
    </row>
    <row r="242" spans="13:58" hidden="1"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49"/>
      <c r="AJ242" s="151">
        <v>0.69</v>
      </c>
      <c r="AK242" s="149"/>
      <c r="AL242" s="149"/>
      <c r="AM242" s="149"/>
      <c r="AN242" s="149"/>
      <c r="AO242" s="149"/>
      <c r="AP242" s="149"/>
      <c r="AQ242" s="150"/>
      <c r="AR242" s="121"/>
      <c r="AS242" s="121"/>
      <c r="AT242" s="121"/>
      <c r="AU242" s="121"/>
      <c r="AV242" s="121"/>
      <c r="AW242" s="121"/>
      <c r="AX242" s="121"/>
      <c r="AY242" s="121"/>
      <c r="AZ242" s="121"/>
      <c r="BA242" s="121"/>
      <c r="BB242" s="121"/>
      <c r="BC242" s="121"/>
      <c r="BD242" s="121"/>
      <c r="BE242" s="121"/>
      <c r="BF242" s="121"/>
    </row>
    <row r="243" spans="13:58" hidden="1"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49"/>
      <c r="AJ243" s="151">
        <v>0.7</v>
      </c>
      <c r="AK243" s="149"/>
      <c r="AL243" s="149"/>
      <c r="AM243" s="149"/>
      <c r="AN243" s="149"/>
      <c r="AO243" s="149"/>
      <c r="AP243" s="149"/>
      <c r="AQ243" s="150"/>
      <c r="AR243" s="121"/>
      <c r="AS243" s="121"/>
      <c r="AT243" s="121"/>
      <c r="AU243" s="121"/>
      <c r="AV243" s="121"/>
      <c r="AW243" s="121"/>
      <c r="AX243" s="121"/>
      <c r="AY243" s="121"/>
      <c r="AZ243" s="121"/>
      <c r="BA243" s="121"/>
      <c r="BB243" s="121"/>
      <c r="BC243" s="121"/>
      <c r="BD243" s="121"/>
      <c r="BE243" s="121"/>
      <c r="BF243" s="121"/>
    </row>
    <row r="244" spans="13:58" hidden="1"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49"/>
      <c r="AJ244" s="151">
        <v>0.71</v>
      </c>
      <c r="AK244" s="149"/>
      <c r="AL244" s="149"/>
      <c r="AM244" s="149"/>
      <c r="AN244" s="149"/>
      <c r="AO244" s="149"/>
      <c r="AP244" s="149"/>
      <c r="AQ244" s="150"/>
      <c r="AR244" s="121"/>
      <c r="AS244" s="121"/>
      <c r="AT244" s="121"/>
      <c r="AU244" s="121"/>
      <c r="AV244" s="121"/>
      <c r="AW244" s="121"/>
      <c r="AX244" s="121"/>
      <c r="AY244" s="121"/>
      <c r="AZ244" s="121"/>
      <c r="BA244" s="121"/>
      <c r="BB244" s="121"/>
      <c r="BC244" s="121"/>
      <c r="BD244" s="121"/>
      <c r="BE244" s="121"/>
      <c r="BF244" s="121"/>
    </row>
    <row r="245" spans="13:58" hidden="1"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49"/>
      <c r="AJ245" s="151">
        <v>0.72</v>
      </c>
      <c r="AK245" s="149"/>
      <c r="AL245" s="149"/>
      <c r="AM245" s="149"/>
      <c r="AN245" s="149"/>
      <c r="AO245" s="149"/>
      <c r="AP245" s="149"/>
      <c r="AQ245" s="150"/>
      <c r="AR245" s="121"/>
      <c r="AS245" s="121"/>
      <c r="AT245" s="121"/>
      <c r="AU245" s="121"/>
      <c r="AV245" s="121"/>
      <c r="AW245" s="121"/>
      <c r="AX245" s="121"/>
      <c r="AY245" s="121"/>
      <c r="AZ245" s="121"/>
      <c r="BA245" s="121"/>
      <c r="BB245" s="121"/>
      <c r="BC245" s="121"/>
      <c r="BD245" s="121"/>
      <c r="BE245" s="121"/>
      <c r="BF245" s="121"/>
    </row>
    <row r="246" spans="13:58" hidden="1"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49"/>
      <c r="AJ246" s="151">
        <v>0.73</v>
      </c>
      <c r="AK246" s="149"/>
      <c r="AL246" s="149"/>
      <c r="AM246" s="149"/>
      <c r="AN246" s="149"/>
      <c r="AO246" s="149"/>
      <c r="AP246" s="149"/>
      <c r="AQ246" s="150"/>
      <c r="AR246" s="121"/>
      <c r="AS246" s="121"/>
      <c r="AT246" s="121"/>
      <c r="AU246" s="121"/>
      <c r="AV246" s="121"/>
      <c r="AW246" s="121"/>
      <c r="AX246" s="121"/>
      <c r="AY246" s="121"/>
      <c r="AZ246" s="121"/>
      <c r="BA246" s="121"/>
      <c r="BB246" s="121"/>
      <c r="BC246" s="121"/>
      <c r="BD246" s="121"/>
      <c r="BE246" s="121"/>
      <c r="BF246" s="121"/>
    </row>
    <row r="247" spans="13:58" hidden="1"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49"/>
      <c r="AJ247" s="151">
        <v>0.74</v>
      </c>
      <c r="AK247" s="149"/>
      <c r="AL247" s="149"/>
      <c r="AM247" s="149"/>
      <c r="AN247" s="149"/>
      <c r="AO247" s="149"/>
      <c r="AP247" s="149"/>
      <c r="AQ247" s="150"/>
      <c r="AR247" s="121"/>
      <c r="AS247" s="121"/>
      <c r="AT247" s="121"/>
      <c r="AU247" s="121"/>
      <c r="AV247" s="121"/>
      <c r="AW247" s="121"/>
      <c r="AX247" s="121"/>
      <c r="AY247" s="121"/>
      <c r="AZ247" s="121"/>
      <c r="BA247" s="121"/>
      <c r="BB247" s="121"/>
      <c r="BC247" s="121"/>
      <c r="BD247" s="121"/>
      <c r="BE247" s="121"/>
      <c r="BF247" s="121"/>
    </row>
    <row r="248" spans="13:58" hidden="1"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49"/>
      <c r="AJ248" s="151">
        <v>0.75</v>
      </c>
      <c r="AK248" s="149"/>
      <c r="AL248" s="149"/>
      <c r="AM248" s="149"/>
      <c r="AN248" s="149"/>
      <c r="AO248" s="149"/>
      <c r="AP248" s="149"/>
      <c r="AQ248" s="150"/>
      <c r="AR248" s="121"/>
      <c r="AS248" s="121"/>
      <c r="AT248" s="121"/>
      <c r="AU248" s="121"/>
      <c r="AV248" s="121"/>
      <c r="AW248" s="121"/>
      <c r="AX248" s="121"/>
      <c r="AY248" s="121"/>
      <c r="AZ248" s="121"/>
      <c r="BA248" s="121"/>
      <c r="BB248" s="121"/>
      <c r="BC248" s="121"/>
      <c r="BD248" s="121"/>
      <c r="BE248" s="121"/>
      <c r="BF248" s="121"/>
    </row>
    <row r="249" spans="13:58" hidden="1"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49"/>
      <c r="AJ249" s="151">
        <v>0.76</v>
      </c>
      <c r="AK249" s="149"/>
      <c r="AL249" s="149"/>
      <c r="AM249" s="149"/>
      <c r="AN249" s="149"/>
      <c r="AO249" s="149"/>
      <c r="AP249" s="149"/>
      <c r="AQ249" s="150"/>
      <c r="AR249" s="121"/>
      <c r="AS249" s="121"/>
      <c r="AT249" s="121"/>
      <c r="AU249" s="121"/>
      <c r="AV249" s="121"/>
      <c r="AW249" s="121"/>
      <c r="AX249" s="121"/>
      <c r="AY249" s="121"/>
      <c r="AZ249" s="121"/>
      <c r="BA249" s="121"/>
      <c r="BB249" s="121"/>
      <c r="BC249" s="121"/>
      <c r="BD249" s="121"/>
      <c r="BE249" s="121"/>
      <c r="BF249" s="121"/>
    </row>
    <row r="250" spans="13:58" hidden="1"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49"/>
      <c r="AJ250" s="151">
        <v>0.77</v>
      </c>
      <c r="AK250" s="149"/>
      <c r="AL250" s="149"/>
      <c r="AM250" s="149"/>
      <c r="AN250" s="149"/>
      <c r="AO250" s="149"/>
      <c r="AP250" s="149"/>
      <c r="AQ250" s="150"/>
      <c r="AR250" s="121"/>
      <c r="AS250" s="121"/>
      <c r="AT250" s="121"/>
      <c r="AU250" s="121"/>
      <c r="AV250" s="121"/>
      <c r="AW250" s="121"/>
      <c r="AX250" s="121"/>
      <c r="AY250" s="121"/>
      <c r="AZ250" s="121"/>
      <c r="BA250" s="121"/>
      <c r="BB250" s="121"/>
      <c r="BC250" s="121"/>
      <c r="BD250" s="121"/>
      <c r="BE250" s="121"/>
      <c r="BF250" s="121"/>
    </row>
    <row r="251" spans="13:58" hidden="1"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49"/>
      <c r="AJ251" s="151">
        <v>0.78</v>
      </c>
      <c r="AK251" s="149"/>
      <c r="AL251" s="149"/>
      <c r="AM251" s="149"/>
      <c r="AN251" s="149"/>
      <c r="AO251" s="149"/>
      <c r="AP251" s="149"/>
      <c r="AQ251" s="150"/>
      <c r="AR251" s="121"/>
      <c r="AS251" s="121"/>
      <c r="AT251" s="121"/>
      <c r="AU251" s="121"/>
      <c r="AV251" s="121"/>
      <c r="AW251" s="121"/>
      <c r="AX251" s="121"/>
      <c r="AY251" s="121"/>
      <c r="AZ251" s="121"/>
      <c r="BA251" s="121"/>
      <c r="BB251" s="121"/>
      <c r="BC251" s="121"/>
      <c r="BD251" s="121"/>
      <c r="BE251" s="121"/>
      <c r="BF251" s="121"/>
    </row>
    <row r="252" spans="13:58" hidden="1"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49"/>
      <c r="AJ252" s="151">
        <v>0.79</v>
      </c>
      <c r="AK252" s="149"/>
      <c r="AL252" s="149"/>
      <c r="AM252" s="149"/>
      <c r="AN252" s="149"/>
      <c r="AO252" s="149"/>
      <c r="AP252" s="149"/>
      <c r="AQ252" s="150"/>
      <c r="AR252" s="121"/>
      <c r="AS252" s="121"/>
      <c r="AT252" s="121"/>
      <c r="AU252" s="121"/>
      <c r="AV252" s="121"/>
      <c r="AW252" s="121"/>
      <c r="AX252" s="121"/>
      <c r="AY252" s="121"/>
      <c r="AZ252" s="121"/>
      <c r="BA252" s="121"/>
      <c r="BB252" s="121"/>
      <c r="BC252" s="121"/>
      <c r="BD252" s="121"/>
      <c r="BE252" s="121"/>
      <c r="BF252" s="121"/>
    </row>
    <row r="253" spans="13:58" hidden="1"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49"/>
      <c r="AJ253" s="151">
        <v>0.8</v>
      </c>
      <c r="AK253" s="149"/>
      <c r="AL253" s="149"/>
      <c r="AM253" s="149"/>
      <c r="AN253" s="149"/>
      <c r="AO253" s="149"/>
      <c r="AP253" s="149"/>
      <c r="AQ253" s="150"/>
      <c r="AR253" s="121"/>
      <c r="AS253" s="121"/>
      <c r="AT253" s="121"/>
      <c r="AU253" s="121"/>
      <c r="AV253" s="121"/>
      <c r="AW253" s="121"/>
      <c r="AX253" s="121"/>
      <c r="AY253" s="121"/>
      <c r="AZ253" s="121"/>
      <c r="BA253" s="121"/>
      <c r="BB253" s="121"/>
      <c r="BC253" s="121"/>
      <c r="BD253" s="121"/>
      <c r="BE253" s="121"/>
      <c r="BF253" s="121"/>
    </row>
    <row r="254" spans="13:58" hidden="1"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49"/>
      <c r="AJ254" s="151">
        <v>0.81</v>
      </c>
      <c r="AK254" s="149"/>
      <c r="AL254" s="149"/>
      <c r="AM254" s="149"/>
      <c r="AN254" s="149"/>
      <c r="AO254" s="149"/>
      <c r="AP254" s="149"/>
      <c r="AQ254" s="150"/>
      <c r="AR254" s="121"/>
      <c r="AS254" s="121"/>
      <c r="AT254" s="121"/>
      <c r="AU254" s="121"/>
      <c r="AV254" s="121"/>
      <c r="AW254" s="121"/>
      <c r="AX254" s="121"/>
      <c r="AY254" s="121"/>
      <c r="AZ254" s="121"/>
      <c r="BA254" s="121"/>
      <c r="BB254" s="121"/>
      <c r="BC254" s="121"/>
      <c r="BD254" s="121"/>
      <c r="BE254" s="121"/>
      <c r="BF254" s="121"/>
    </row>
    <row r="255" spans="13:58" hidden="1"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49"/>
      <c r="AJ255" s="151">
        <v>0.82</v>
      </c>
      <c r="AK255" s="149"/>
      <c r="AL255" s="149"/>
      <c r="AM255" s="149"/>
      <c r="AN255" s="149"/>
      <c r="AO255" s="149"/>
      <c r="AP255" s="149"/>
      <c r="AQ255" s="150"/>
      <c r="AR255" s="121"/>
      <c r="AS255" s="121"/>
      <c r="AT255" s="121"/>
      <c r="AU255" s="121"/>
      <c r="AV255" s="121"/>
      <c r="AW255" s="121"/>
      <c r="AX255" s="121"/>
      <c r="AY255" s="121"/>
      <c r="AZ255" s="121"/>
      <c r="BA255" s="121"/>
      <c r="BB255" s="121"/>
      <c r="BC255" s="121"/>
      <c r="BD255" s="121"/>
      <c r="BE255" s="121"/>
      <c r="BF255" s="121"/>
    </row>
    <row r="256" spans="13:58" hidden="1"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49"/>
      <c r="AJ256" s="151">
        <v>0.83</v>
      </c>
      <c r="AK256" s="149"/>
      <c r="AL256" s="149"/>
      <c r="AM256" s="149"/>
      <c r="AN256" s="149"/>
      <c r="AO256" s="149"/>
      <c r="AP256" s="149"/>
      <c r="AQ256" s="150"/>
      <c r="AR256" s="121"/>
      <c r="AS256" s="121"/>
      <c r="AT256" s="121"/>
      <c r="AU256" s="121"/>
      <c r="AV256" s="121"/>
      <c r="AW256" s="121"/>
      <c r="AX256" s="121"/>
      <c r="AY256" s="121"/>
      <c r="AZ256" s="121"/>
      <c r="BA256" s="121"/>
      <c r="BB256" s="121"/>
      <c r="BC256" s="121"/>
      <c r="BD256" s="121"/>
      <c r="BE256" s="121"/>
      <c r="BF256" s="121"/>
    </row>
    <row r="257" spans="13:58" hidden="1"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49"/>
      <c r="AJ257" s="151">
        <v>0.84</v>
      </c>
      <c r="AK257" s="149"/>
      <c r="AL257" s="149"/>
      <c r="AM257" s="149"/>
      <c r="AN257" s="149"/>
      <c r="AO257" s="149"/>
      <c r="AP257" s="149"/>
      <c r="AQ257" s="150"/>
      <c r="AR257" s="121"/>
      <c r="AS257" s="121"/>
      <c r="AT257" s="121"/>
      <c r="AU257" s="121"/>
      <c r="AV257" s="121"/>
      <c r="AW257" s="121"/>
      <c r="AX257" s="121"/>
      <c r="AY257" s="121"/>
      <c r="AZ257" s="121"/>
      <c r="BA257" s="121"/>
      <c r="BB257" s="121"/>
      <c r="BC257" s="121"/>
      <c r="BD257" s="121"/>
      <c r="BE257" s="121"/>
      <c r="BF257" s="121"/>
    </row>
    <row r="258" spans="13:58" hidden="1"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49"/>
      <c r="AJ258" s="151">
        <v>0.85</v>
      </c>
      <c r="AK258" s="149"/>
      <c r="AL258" s="149"/>
      <c r="AM258" s="149"/>
      <c r="AN258" s="149"/>
      <c r="AO258" s="149"/>
      <c r="AP258" s="149"/>
      <c r="AQ258" s="150"/>
      <c r="AR258" s="121"/>
      <c r="AS258" s="121"/>
      <c r="AT258" s="121"/>
      <c r="AU258" s="121"/>
      <c r="AV258" s="121"/>
      <c r="AW258" s="121"/>
      <c r="AX258" s="121"/>
      <c r="AY258" s="121"/>
      <c r="AZ258" s="121"/>
      <c r="BA258" s="121"/>
      <c r="BB258" s="121"/>
      <c r="BC258" s="121"/>
      <c r="BD258" s="121"/>
      <c r="BE258" s="121"/>
      <c r="BF258" s="121"/>
    </row>
    <row r="259" spans="13:58" hidden="1"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49"/>
      <c r="AJ259" s="151">
        <v>0.86</v>
      </c>
      <c r="AK259" s="149"/>
      <c r="AL259" s="149"/>
      <c r="AM259" s="149"/>
      <c r="AN259" s="149"/>
      <c r="AO259" s="149"/>
      <c r="AP259" s="149"/>
      <c r="AQ259" s="150"/>
      <c r="AR259" s="121"/>
      <c r="AS259" s="121"/>
      <c r="AT259" s="121"/>
      <c r="AU259" s="121"/>
      <c r="AV259" s="121"/>
      <c r="AW259" s="121"/>
      <c r="AX259" s="121"/>
      <c r="AY259" s="121"/>
      <c r="AZ259" s="121"/>
      <c r="BA259" s="121"/>
      <c r="BB259" s="121"/>
      <c r="BC259" s="121"/>
      <c r="BD259" s="121"/>
      <c r="BE259" s="121"/>
      <c r="BF259" s="121"/>
    </row>
    <row r="260" spans="13:58" hidden="1"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49"/>
      <c r="AJ260" s="151">
        <v>0.87</v>
      </c>
      <c r="AK260" s="149"/>
      <c r="AL260" s="149"/>
      <c r="AM260" s="149"/>
      <c r="AN260" s="149"/>
      <c r="AO260" s="149"/>
      <c r="AP260" s="149"/>
      <c r="AQ260" s="150"/>
      <c r="AR260" s="121"/>
      <c r="AS260" s="121"/>
      <c r="AT260" s="121"/>
      <c r="AU260" s="121"/>
      <c r="AV260" s="121"/>
      <c r="AW260" s="121"/>
      <c r="AX260" s="121"/>
      <c r="AY260" s="121"/>
      <c r="AZ260" s="121"/>
      <c r="BA260" s="121"/>
      <c r="BB260" s="121"/>
      <c r="BC260" s="121"/>
      <c r="BD260" s="121"/>
      <c r="BE260" s="121"/>
      <c r="BF260" s="121"/>
    </row>
    <row r="261" spans="13:58" hidden="1"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49"/>
      <c r="AJ261" s="151">
        <v>0.88</v>
      </c>
      <c r="AK261" s="149"/>
      <c r="AL261" s="149"/>
      <c r="AM261" s="149"/>
      <c r="AN261" s="149"/>
      <c r="AO261" s="149"/>
      <c r="AP261" s="149"/>
      <c r="AQ261" s="150"/>
      <c r="AR261" s="121"/>
      <c r="AS261" s="121"/>
      <c r="AT261" s="121"/>
      <c r="AU261" s="121"/>
      <c r="AV261" s="121"/>
      <c r="AW261" s="121"/>
      <c r="AX261" s="121"/>
      <c r="AY261" s="121"/>
      <c r="AZ261" s="121"/>
      <c r="BA261" s="121"/>
      <c r="BB261" s="121"/>
      <c r="BC261" s="121"/>
      <c r="BD261" s="121"/>
      <c r="BE261" s="121"/>
      <c r="BF261" s="121"/>
    </row>
    <row r="262" spans="13:58" hidden="1"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49"/>
      <c r="AJ262" s="151">
        <v>0.89</v>
      </c>
      <c r="AK262" s="149"/>
      <c r="AL262" s="149"/>
      <c r="AM262" s="149"/>
      <c r="AN262" s="149"/>
      <c r="AO262" s="149"/>
      <c r="AP262" s="149"/>
      <c r="AQ262" s="150"/>
      <c r="AR262" s="121"/>
      <c r="AS262" s="121"/>
      <c r="AT262" s="121"/>
      <c r="AU262" s="121"/>
      <c r="AV262" s="121"/>
      <c r="AW262" s="121"/>
      <c r="AX262" s="121"/>
      <c r="AY262" s="121"/>
      <c r="AZ262" s="121"/>
      <c r="BA262" s="121"/>
      <c r="BB262" s="121"/>
      <c r="BC262" s="121"/>
      <c r="BD262" s="121"/>
      <c r="BE262" s="121"/>
      <c r="BF262" s="121"/>
    </row>
    <row r="263" spans="13:58" hidden="1"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49"/>
      <c r="AJ263" s="151">
        <v>0.9</v>
      </c>
      <c r="AK263" s="149"/>
      <c r="AL263" s="149"/>
      <c r="AM263" s="149"/>
      <c r="AN263" s="149"/>
      <c r="AO263" s="149"/>
      <c r="AP263" s="149"/>
      <c r="AQ263" s="150"/>
      <c r="AR263" s="121"/>
      <c r="AS263" s="121"/>
      <c r="AT263" s="121"/>
      <c r="AU263" s="121"/>
      <c r="AV263" s="121"/>
      <c r="AW263" s="121"/>
      <c r="AX263" s="121"/>
      <c r="AY263" s="121"/>
      <c r="AZ263" s="121"/>
      <c r="BA263" s="121"/>
      <c r="BB263" s="121"/>
      <c r="BC263" s="121"/>
      <c r="BD263" s="121"/>
      <c r="BE263" s="121"/>
      <c r="BF263" s="121"/>
    </row>
    <row r="264" spans="13:58" hidden="1"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49"/>
      <c r="AJ264" s="151">
        <v>0.91</v>
      </c>
      <c r="AK264" s="149"/>
      <c r="AL264" s="149"/>
      <c r="AM264" s="149"/>
      <c r="AN264" s="149"/>
      <c r="AO264" s="149"/>
      <c r="AP264" s="149"/>
      <c r="AQ264" s="150"/>
      <c r="AR264" s="121"/>
      <c r="AS264" s="121"/>
      <c r="AT264" s="121"/>
      <c r="AU264" s="121"/>
      <c r="AV264" s="121"/>
      <c r="AW264" s="121"/>
      <c r="AX264" s="121"/>
      <c r="AY264" s="121"/>
      <c r="AZ264" s="121"/>
      <c r="BA264" s="121"/>
      <c r="BB264" s="121"/>
      <c r="BC264" s="121"/>
      <c r="BD264" s="121"/>
      <c r="BE264" s="121"/>
      <c r="BF264" s="121"/>
    </row>
    <row r="265" spans="13:58" hidden="1"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49"/>
      <c r="AJ265" s="151">
        <v>0.92</v>
      </c>
      <c r="AK265" s="149"/>
      <c r="AL265" s="149"/>
      <c r="AM265" s="149"/>
      <c r="AN265" s="149"/>
      <c r="AO265" s="149"/>
      <c r="AP265" s="149"/>
      <c r="AQ265" s="150"/>
      <c r="AR265" s="121"/>
      <c r="AS265" s="121"/>
      <c r="AT265" s="121"/>
      <c r="AU265" s="121"/>
      <c r="AV265" s="121"/>
      <c r="AW265" s="121"/>
      <c r="AX265" s="121"/>
      <c r="AY265" s="121"/>
      <c r="AZ265" s="121"/>
      <c r="BA265" s="121"/>
      <c r="BB265" s="121"/>
      <c r="BC265" s="121"/>
      <c r="BD265" s="121"/>
      <c r="BE265" s="121"/>
      <c r="BF265" s="121"/>
    </row>
    <row r="266" spans="13:58" hidden="1"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49"/>
      <c r="AJ266" s="151">
        <v>0.93</v>
      </c>
      <c r="AK266" s="149"/>
      <c r="AL266" s="149"/>
      <c r="AM266" s="149"/>
      <c r="AN266" s="149"/>
      <c r="AO266" s="149"/>
      <c r="AP266" s="149"/>
      <c r="AQ266" s="150"/>
      <c r="AR266" s="121"/>
      <c r="AS266" s="121"/>
      <c r="AT266" s="121"/>
      <c r="AU266" s="121"/>
      <c r="AV266" s="121"/>
      <c r="AW266" s="121"/>
      <c r="AX266" s="121"/>
      <c r="AY266" s="121"/>
      <c r="AZ266" s="121"/>
      <c r="BA266" s="121"/>
      <c r="BB266" s="121"/>
      <c r="BC266" s="121"/>
      <c r="BD266" s="121"/>
      <c r="BE266" s="121"/>
      <c r="BF266" s="121"/>
    </row>
    <row r="267" spans="13:58" hidden="1"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49"/>
      <c r="AJ267" s="151">
        <v>0.94</v>
      </c>
      <c r="AK267" s="149"/>
      <c r="AL267" s="149"/>
      <c r="AM267" s="149"/>
      <c r="AN267" s="149"/>
      <c r="AO267" s="149"/>
      <c r="AP267" s="149"/>
      <c r="AQ267" s="150"/>
      <c r="AR267" s="121"/>
      <c r="AS267" s="121"/>
      <c r="AT267" s="121"/>
      <c r="AU267" s="121"/>
      <c r="AV267" s="121"/>
      <c r="AW267" s="121"/>
      <c r="AX267" s="121"/>
      <c r="AY267" s="121"/>
      <c r="AZ267" s="121"/>
      <c r="BA267" s="121"/>
      <c r="BB267" s="121"/>
      <c r="BC267" s="121"/>
      <c r="BD267" s="121"/>
      <c r="BE267" s="121"/>
      <c r="BF267" s="121"/>
    </row>
    <row r="268" spans="13:58" hidden="1"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49"/>
      <c r="AJ268" s="151">
        <v>0.95</v>
      </c>
      <c r="AK268" s="149"/>
      <c r="AL268" s="149"/>
      <c r="AM268" s="149"/>
      <c r="AN268" s="149"/>
      <c r="AO268" s="149"/>
      <c r="AP268" s="149"/>
      <c r="AQ268" s="150"/>
      <c r="AR268" s="121"/>
      <c r="AS268" s="121"/>
      <c r="AT268" s="121"/>
      <c r="AU268" s="121"/>
      <c r="AV268" s="121"/>
      <c r="AW268" s="121"/>
      <c r="AX268" s="121"/>
      <c r="AY268" s="121"/>
      <c r="AZ268" s="121"/>
      <c r="BA268" s="121"/>
      <c r="BB268" s="121"/>
      <c r="BC268" s="121"/>
      <c r="BD268" s="121"/>
      <c r="BE268" s="121"/>
      <c r="BF268" s="121"/>
    </row>
    <row r="269" spans="13:58" hidden="1"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49"/>
      <c r="AJ269" s="151">
        <v>0.96</v>
      </c>
      <c r="AK269" s="149"/>
      <c r="AL269" s="149"/>
      <c r="AM269" s="149"/>
      <c r="AN269" s="149"/>
      <c r="AO269" s="149"/>
      <c r="AP269" s="149"/>
      <c r="AQ269" s="150"/>
      <c r="AR269" s="121"/>
      <c r="AS269" s="121"/>
      <c r="AT269" s="121"/>
      <c r="AU269" s="121"/>
      <c r="AV269" s="121"/>
      <c r="AW269" s="121"/>
      <c r="AX269" s="121"/>
      <c r="AY269" s="121"/>
      <c r="AZ269" s="121"/>
      <c r="BA269" s="121"/>
      <c r="BB269" s="121"/>
      <c r="BC269" s="121"/>
      <c r="BD269" s="121"/>
      <c r="BE269" s="121"/>
      <c r="BF269" s="121"/>
    </row>
    <row r="270" spans="13:58" hidden="1"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49"/>
      <c r="AJ270" s="151">
        <v>0.97</v>
      </c>
      <c r="AK270" s="149"/>
      <c r="AL270" s="149"/>
      <c r="AM270" s="149"/>
      <c r="AN270" s="149"/>
      <c r="AO270" s="149"/>
      <c r="AP270" s="149"/>
      <c r="AQ270" s="150"/>
      <c r="AR270" s="121"/>
      <c r="AS270" s="121"/>
      <c r="AT270" s="121"/>
      <c r="AU270" s="121"/>
      <c r="AV270" s="121"/>
      <c r="AW270" s="121"/>
      <c r="AX270" s="121"/>
      <c r="AY270" s="121"/>
      <c r="AZ270" s="121"/>
      <c r="BA270" s="121"/>
      <c r="BB270" s="121"/>
      <c r="BC270" s="121"/>
      <c r="BD270" s="121"/>
      <c r="BE270" s="121"/>
      <c r="BF270" s="121"/>
    </row>
    <row r="271" spans="13:58" hidden="1"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49"/>
      <c r="AJ271" s="151">
        <v>0.98</v>
      </c>
      <c r="AK271" s="149"/>
      <c r="AL271" s="149"/>
      <c r="AM271" s="149"/>
      <c r="AN271" s="149"/>
      <c r="AO271" s="149"/>
      <c r="AP271" s="149"/>
      <c r="AQ271" s="150"/>
      <c r="AR271" s="121"/>
      <c r="AS271" s="121"/>
      <c r="AT271" s="121"/>
      <c r="AU271" s="121"/>
      <c r="AV271" s="121"/>
      <c r="AW271" s="121"/>
      <c r="AX271" s="121"/>
      <c r="AY271" s="121"/>
      <c r="AZ271" s="121"/>
      <c r="BA271" s="121"/>
      <c r="BB271" s="121"/>
      <c r="BC271" s="121"/>
      <c r="BD271" s="121"/>
      <c r="BE271" s="121"/>
      <c r="BF271" s="121"/>
    </row>
    <row r="272" spans="13:58" hidden="1"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49"/>
      <c r="AJ272" s="151">
        <v>0.99</v>
      </c>
      <c r="AK272" s="149"/>
      <c r="AL272" s="149"/>
      <c r="AM272" s="149"/>
      <c r="AN272" s="149"/>
      <c r="AO272" s="149"/>
      <c r="AP272" s="149"/>
      <c r="AQ272" s="150"/>
      <c r="AR272" s="121"/>
      <c r="AS272" s="121"/>
      <c r="AT272" s="121"/>
      <c r="AU272" s="121"/>
      <c r="AV272" s="121"/>
      <c r="AW272" s="121"/>
      <c r="AX272" s="121"/>
      <c r="AY272" s="121"/>
      <c r="AZ272" s="121"/>
      <c r="BA272" s="121"/>
      <c r="BB272" s="121"/>
      <c r="BC272" s="121"/>
      <c r="BD272" s="121"/>
      <c r="BE272" s="121"/>
      <c r="BF272" s="121"/>
    </row>
    <row r="273" spans="13:58" hidden="1"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49"/>
      <c r="AJ273" s="151">
        <v>1</v>
      </c>
      <c r="AK273" s="149"/>
      <c r="AL273" s="149"/>
      <c r="AM273" s="149"/>
      <c r="AN273" s="149"/>
      <c r="AO273" s="149"/>
      <c r="AP273" s="149"/>
      <c r="AQ273" s="150"/>
      <c r="AR273" s="121"/>
      <c r="AS273" s="121"/>
      <c r="AT273" s="121"/>
      <c r="AU273" s="121"/>
      <c r="AV273" s="121"/>
      <c r="AW273" s="121"/>
      <c r="AX273" s="121"/>
      <c r="AY273" s="121"/>
      <c r="AZ273" s="121"/>
      <c r="BA273" s="121"/>
      <c r="BB273" s="121"/>
      <c r="BC273" s="121"/>
      <c r="BD273" s="121"/>
      <c r="BE273" s="121"/>
      <c r="BF273" s="121"/>
    </row>
    <row r="274" spans="13:58" hidden="1"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69"/>
      <c r="AJ274" s="149"/>
      <c r="AK274" s="149"/>
      <c r="AL274" s="149"/>
      <c r="AM274" s="149"/>
      <c r="AN274" s="149"/>
      <c r="AO274" s="149"/>
      <c r="AP274" s="149"/>
      <c r="AQ274" s="150"/>
      <c r="AR274" s="121"/>
      <c r="AS274" s="121"/>
      <c r="AT274" s="121"/>
      <c r="AU274" s="121"/>
      <c r="AV274" s="121"/>
      <c r="AW274" s="121"/>
      <c r="AX274" s="121"/>
      <c r="AY274" s="121"/>
      <c r="AZ274" s="121"/>
      <c r="BA274" s="121"/>
      <c r="BB274" s="121"/>
      <c r="BC274" s="121"/>
      <c r="BD274" s="121"/>
      <c r="BE274" s="121"/>
      <c r="BF274" s="121"/>
    </row>
    <row r="275" spans="13:58" hidden="1"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69"/>
      <c r="AJ275" s="149"/>
      <c r="AK275" s="149"/>
      <c r="AL275" s="149"/>
      <c r="AM275" s="149"/>
      <c r="AN275" s="149"/>
      <c r="AO275" s="149"/>
      <c r="AP275" s="149"/>
      <c r="AQ275" s="150"/>
      <c r="AR275" s="121"/>
      <c r="AS275" s="121"/>
      <c r="AT275" s="121"/>
      <c r="AU275" s="121"/>
      <c r="AV275" s="121"/>
      <c r="AW275" s="121"/>
      <c r="AX275" s="121"/>
      <c r="AY275" s="121"/>
      <c r="AZ275" s="121"/>
      <c r="BA275" s="121"/>
      <c r="BB275" s="121"/>
      <c r="BC275" s="121"/>
      <c r="BD275" s="121"/>
      <c r="BE275" s="121"/>
      <c r="BF275" s="121"/>
    </row>
    <row r="276" spans="13:58" hidden="1"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69"/>
      <c r="AJ276" s="149"/>
      <c r="AK276" s="149"/>
      <c r="AL276" s="149"/>
      <c r="AM276" s="149"/>
      <c r="AN276" s="149"/>
      <c r="AO276" s="149"/>
      <c r="AP276" s="149"/>
      <c r="AQ276" s="150"/>
      <c r="AR276" s="121"/>
      <c r="AS276" s="121"/>
      <c r="AT276" s="121"/>
      <c r="AU276" s="121"/>
      <c r="AV276" s="121"/>
      <c r="AW276" s="121"/>
      <c r="AX276" s="121"/>
      <c r="AY276" s="121"/>
      <c r="AZ276" s="121"/>
      <c r="BA276" s="121"/>
      <c r="BB276" s="121"/>
      <c r="BC276" s="121"/>
      <c r="BD276" s="121"/>
      <c r="BE276" s="121"/>
      <c r="BF276" s="121"/>
    </row>
    <row r="277" spans="13:58" hidden="1"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  <c r="AA277" s="121"/>
      <c r="AB277" s="121"/>
      <c r="AC277" s="121"/>
      <c r="AD277" s="121"/>
      <c r="AE277" s="121"/>
      <c r="AF277" s="121"/>
      <c r="AG277" s="121"/>
      <c r="AH277" s="121"/>
      <c r="AI277" s="169"/>
      <c r="AJ277" s="149"/>
      <c r="AK277" s="149"/>
      <c r="AL277" s="149"/>
      <c r="AM277" s="149"/>
      <c r="AN277" s="149"/>
      <c r="AO277" s="149"/>
      <c r="AP277" s="149"/>
      <c r="AQ277" s="150"/>
      <c r="AR277" s="121"/>
      <c r="AS277" s="121"/>
      <c r="AT277" s="121"/>
      <c r="AU277" s="121"/>
      <c r="AV277" s="121"/>
      <c r="AW277" s="121"/>
      <c r="AX277" s="121"/>
      <c r="AY277" s="121"/>
      <c r="AZ277" s="121"/>
      <c r="BA277" s="121"/>
      <c r="BB277" s="121"/>
      <c r="BC277" s="121"/>
      <c r="BD277" s="121"/>
      <c r="BE277" s="121"/>
      <c r="BF277" s="121"/>
    </row>
    <row r="278" spans="13:58" hidden="1"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  <c r="AA278" s="121"/>
      <c r="AB278" s="121"/>
      <c r="AC278" s="121"/>
      <c r="AD278" s="121"/>
      <c r="AE278" s="121"/>
      <c r="AF278" s="121"/>
      <c r="AG278" s="121"/>
      <c r="AH278" s="121"/>
      <c r="AI278" s="149"/>
      <c r="AJ278" s="149"/>
      <c r="AK278" s="149"/>
      <c r="AL278" s="149"/>
      <c r="AM278" s="149"/>
      <c r="AN278" s="149"/>
      <c r="AO278" s="149"/>
      <c r="AP278" s="149"/>
      <c r="AQ278" s="150"/>
      <c r="AR278" s="121"/>
      <c r="AS278" s="121"/>
      <c r="AT278" s="121"/>
      <c r="AU278" s="121"/>
      <c r="AV278" s="121"/>
      <c r="AW278" s="121"/>
      <c r="AX278" s="121"/>
      <c r="AY278" s="121"/>
      <c r="AZ278" s="121"/>
      <c r="BA278" s="121"/>
      <c r="BB278" s="121"/>
      <c r="BC278" s="121"/>
      <c r="BD278" s="121"/>
      <c r="BE278" s="121"/>
      <c r="BF278" s="121"/>
    </row>
    <row r="279" spans="13:58" hidden="1"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49"/>
      <c r="AJ279" s="149"/>
      <c r="AK279" s="149"/>
      <c r="AL279" s="149"/>
      <c r="AM279" s="149"/>
      <c r="AN279" s="149"/>
      <c r="AO279" s="149"/>
      <c r="AP279" s="149"/>
      <c r="AQ279" s="150"/>
      <c r="AR279" s="121"/>
      <c r="AS279" s="121"/>
      <c r="AT279" s="121"/>
      <c r="AU279" s="121"/>
      <c r="AV279" s="121"/>
      <c r="AW279" s="121"/>
      <c r="AX279" s="121"/>
      <c r="AY279" s="121"/>
      <c r="AZ279" s="121"/>
      <c r="BA279" s="121"/>
      <c r="BB279" s="121"/>
      <c r="BC279" s="121"/>
      <c r="BD279" s="121"/>
      <c r="BE279" s="121"/>
      <c r="BF279" s="121"/>
    </row>
    <row r="280" spans="13:58" hidden="1"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49"/>
      <c r="AJ280" s="149"/>
      <c r="AK280" s="149"/>
      <c r="AL280" s="149"/>
      <c r="AM280" s="149"/>
      <c r="AN280" s="149"/>
      <c r="AO280" s="149"/>
      <c r="AP280" s="149"/>
      <c r="AQ280" s="150"/>
      <c r="AR280" s="121"/>
      <c r="AS280" s="121"/>
      <c r="AT280" s="121"/>
      <c r="AU280" s="121"/>
      <c r="AV280" s="121"/>
      <c r="AW280" s="121"/>
      <c r="AX280" s="121"/>
      <c r="AY280" s="121"/>
      <c r="AZ280" s="121"/>
      <c r="BA280" s="121"/>
      <c r="BB280" s="121"/>
      <c r="BC280" s="121"/>
      <c r="BD280" s="121"/>
      <c r="BE280" s="121"/>
      <c r="BF280" s="121"/>
    </row>
    <row r="281" spans="13:58" hidden="1"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  <c r="AA281" s="121"/>
      <c r="AB281" s="121"/>
      <c r="AC281" s="121"/>
      <c r="AD281" s="121"/>
      <c r="AE281" s="121"/>
      <c r="AF281" s="121"/>
      <c r="AG281" s="121"/>
      <c r="AH281" s="121"/>
      <c r="AI281" s="149"/>
      <c r="AJ281" s="149"/>
      <c r="AK281" s="149"/>
      <c r="AL281" s="149"/>
      <c r="AM281" s="149"/>
      <c r="AN281" s="149"/>
      <c r="AO281" s="149"/>
      <c r="AP281" s="149"/>
      <c r="AQ281" s="150"/>
      <c r="AR281" s="121"/>
      <c r="AS281" s="121"/>
      <c r="AT281" s="121"/>
      <c r="AU281" s="121"/>
      <c r="AV281" s="121"/>
      <c r="AW281" s="121"/>
      <c r="AX281" s="121"/>
      <c r="AY281" s="121"/>
      <c r="AZ281" s="121"/>
      <c r="BA281" s="121"/>
      <c r="BB281" s="121"/>
      <c r="BC281" s="121"/>
      <c r="BD281" s="121"/>
      <c r="BE281" s="121"/>
      <c r="BF281" s="121"/>
    </row>
    <row r="282" spans="13:58" hidden="1"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  <c r="AA282" s="121"/>
      <c r="AB282" s="121"/>
      <c r="AC282" s="121"/>
      <c r="AD282" s="121"/>
      <c r="AE282" s="121"/>
      <c r="AF282" s="121"/>
      <c r="AG282" s="121"/>
      <c r="AH282" s="121"/>
      <c r="AI282" s="149"/>
      <c r="AJ282" s="149"/>
      <c r="AK282" s="149"/>
      <c r="AL282" s="149"/>
      <c r="AM282" s="149"/>
      <c r="AN282" s="149"/>
      <c r="AO282" s="149"/>
      <c r="AP282" s="149"/>
      <c r="AQ282" s="150"/>
      <c r="AR282" s="121"/>
      <c r="AS282" s="121"/>
      <c r="AT282" s="121"/>
      <c r="AU282" s="121"/>
      <c r="AV282" s="121"/>
      <c r="AW282" s="121"/>
      <c r="AX282" s="121"/>
      <c r="AY282" s="121"/>
      <c r="AZ282" s="121"/>
      <c r="BA282" s="121"/>
      <c r="BB282" s="121"/>
      <c r="BC282" s="121"/>
      <c r="BD282" s="121"/>
      <c r="BE282" s="121"/>
      <c r="BF282" s="121"/>
    </row>
    <row r="283" spans="13:58" hidden="1"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49"/>
      <c r="AJ283" s="149"/>
      <c r="AK283" s="149"/>
      <c r="AL283" s="149"/>
      <c r="AM283" s="149"/>
      <c r="AN283" s="149"/>
      <c r="AO283" s="149"/>
      <c r="AP283" s="149"/>
      <c r="AQ283" s="150"/>
      <c r="AR283" s="121"/>
      <c r="AS283" s="121"/>
      <c r="AT283" s="121"/>
      <c r="AU283" s="121"/>
      <c r="AV283" s="121"/>
      <c r="AW283" s="121"/>
      <c r="AX283" s="121"/>
      <c r="AY283" s="121"/>
      <c r="AZ283" s="121"/>
      <c r="BA283" s="121"/>
      <c r="BB283" s="121"/>
      <c r="BC283" s="121"/>
      <c r="BD283" s="121"/>
      <c r="BE283" s="121"/>
      <c r="BF283" s="121"/>
    </row>
    <row r="284" spans="13:58" hidden="1"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49"/>
      <c r="AJ284" s="149"/>
      <c r="AK284" s="149"/>
      <c r="AL284" s="149"/>
      <c r="AM284" s="149"/>
      <c r="AN284" s="149"/>
      <c r="AO284" s="149"/>
      <c r="AP284" s="149"/>
      <c r="AQ284" s="150"/>
      <c r="AR284" s="121"/>
      <c r="AS284" s="121"/>
      <c r="AT284" s="121"/>
      <c r="AU284" s="121"/>
      <c r="AV284" s="121"/>
      <c r="AW284" s="121"/>
      <c r="AX284" s="121"/>
      <c r="AY284" s="121"/>
      <c r="AZ284" s="121"/>
      <c r="BA284" s="121"/>
      <c r="BB284" s="121"/>
      <c r="BC284" s="121"/>
      <c r="BD284" s="121"/>
      <c r="BE284" s="121"/>
      <c r="BF284" s="121"/>
    </row>
    <row r="285" spans="13:58" hidden="1"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49"/>
      <c r="AJ285" s="149"/>
      <c r="AK285" s="149"/>
      <c r="AL285" s="149"/>
      <c r="AM285" s="149"/>
      <c r="AN285" s="149"/>
      <c r="AO285" s="149"/>
      <c r="AP285" s="149"/>
      <c r="AQ285" s="150"/>
      <c r="AR285" s="121"/>
      <c r="AS285" s="121"/>
      <c r="AT285" s="121"/>
      <c r="AU285" s="121"/>
      <c r="AV285" s="121"/>
      <c r="AW285" s="121"/>
      <c r="AX285" s="121"/>
      <c r="AY285" s="121"/>
      <c r="AZ285" s="121"/>
      <c r="BA285" s="121"/>
      <c r="BB285" s="121"/>
      <c r="BC285" s="121"/>
      <c r="BD285" s="121"/>
      <c r="BE285" s="121"/>
      <c r="BF285" s="121"/>
    </row>
    <row r="286" spans="13:58" hidden="1"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49"/>
      <c r="AJ286" s="149"/>
      <c r="AK286" s="149"/>
      <c r="AL286" s="149"/>
      <c r="AM286" s="149"/>
      <c r="AN286" s="149"/>
      <c r="AO286" s="149"/>
      <c r="AP286" s="149"/>
      <c r="AQ286" s="150"/>
      <c r="AR286" s="121"/>
      <c r="AS286" s="121"/>
      <c r="AT286" s="121"/>
      <c r="AU286" s="121"/>
      <c r="AV286" s="121"/>
      <c r="AW286" s="121"/>
      <c r="AX286" s="121"/>
      <c r="AY286" s="121"/>
      <c r="AZ286" s="121"/>
      <c r="BA286" s="121"/>
      <c r="BB286" s="121"/>
      <c r="BC286" s="121"/>
      <c r="BD286" s="121"/>
      <c r="BE286" s="121"/>
      <c r="BF286" s="121"/>
    </row>
    <row r="287" spans="13:58" hidden="1"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49"/>
      <c r="AJ287" s="149"/>
      <c r="AK287" s="149"/>
      <c r="AL287" s="149"/>
      <c r="AM287" s="149"/>
      <c r="AN287" s="149"/>
      <c r="AO287" s="149"/>
      <c r="AP287" s="149"/>
      <c r="AQ287" s="150"/>
      <c r="AR287" s="121"/>
      <c r="AS287" s="121"/>
      <c r="AT287" s="121"/>
      <c r="AU287" s="121"/>
      <c r="AV287" s="121"/>
      <c r="AW287" s="121"/>
      <c r="AX287" s="121"/>
      <c r="AY287" s="121"/>
      <c r="AZ287" s="121"/>
      <c r="BA287" s="121"/>
      <c r="BB287" s="121"/>
      <c r="BC287" s="121"/>
      <c r="BD287" s="121"/>
      <c r="BE287" s="121"/>
      <c r="BF287" s="121"/>
    </row>
    <row r="288" spans="13:58" hidden="1"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  <c r="AA288" s="121"/>
      <c r="AB288" s="121"/>
      <c r="AC288" s="121"/>
      <c r="AD288" s="121"/>
      <c r="AE288" s="121"/>
      <c r="AF288" s="121"/>
      <c r="AG288" s="121"/>
      <c r="AH288" s="121"/>
      <c r="AI288" s="149"/>
      <c r="AJ288" s="149"/>
      <c r="AK288" s="149"/>
      <c r="AL288" s="149"/>
      <c r="AM288" s="149"/>
      <c r="AN288" s="149"/>
      <c r="AO288" s="149"/>
      <c r="AP288" s="149"/>
      <c r="AQ288" s="150"/>
      <c r="AR288" s="121"/>
      <c r="AS288" s="121"/>
      <c r="AT288" s="121"/>
      <c r="AU288" s="121"/>
      <c r="AV288" s="121"/>
      <c r="AW288" s="121"/>
      <c r="AX288" s="121"/>
      <c r="AY288" s="121"/>
      <c r="AZ288" s="121"/>
      <c r="BA288" s="121"/>
      <c r="BB288" s="121"/>
      <c r="BC288" s="121"/>
      <c r="BD288" s="121"/>
      <c r="BE288" s="121"/>
      <c r="BF288" s="121"/>
    </row>
    <row r="289" spans="13:58" hidden="1"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  <c r="AA289" s="121"/>
      <c r="AB289" s="121"/>
      <c r="AC289" s="121"/>
      <c r="AD289" s="121"/>
      <c r="AE289" s="121"/>
      <c r="AF289" s="121"/>
      <c r="AG289" s="121"/>
      <c r="AH289" s="121"/>
      <c r="AI289" s="149"/>
      <c r="AJ289" s="149"/>
      <c r="AK289" s="149"/>
      <c r="AL289" s="149"/>
      <c r="AM289" s="149"/>
      <c r="AN289" s="149"/>
      <c r="AO289" s="149"/>
      <c r="AP289" s="149"/>
      <c r="AQ289" s="150"/>
      <c r="AR289" s="121"/>
      <c r="AS289" s="121"/>
      <c r="AT289" s="121"/>
      <c r="AU289" s="121"/>
      <c r="AV289" s="121"/>
      <c r="AW289" s="121"/>
      <c r="AX289" s="121"/>
      <c r="AY289" s="121"/>
      <c r="AZ289" s="121"/>
      <c r="BA289" s="121"/>
      <c r="BB289" s="121"/>
      <c r="BC289" s="121"/>
      <c r="BD289" s="121"/>
      <c r="BE289" s="121"/>
      <c r="BF289" s="121"/>
    </row>
    <row r="290" spans="13:58" hidden="1"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49"/>
      <c r="AJ290" s="149"/>
      <c r="AK290" s="149"/>
      <c r="AL290" s="149"/>
      <c r="AM290" s="149"/>
      <c r="AN290" s="149"/>
      <c r="AO290" s="149"/>
      <c r="AP290" s="149"/>
      <c r="AQ290" s="150"/>
      <c r="AR290" s="121"/>
      <c r="AS290" s="121"/>
      <c r="AT290" s="121"/>
      <c r="AU290" s="121"/>
      <c r="AV290" s="121"/>
      <c r="AW290" s="121"/>
      <c r="AX290" s="121"/>
      <c r="AY290" s="121"/>
      <c r="AZ290" s="121"/>
      <c r="BA290" s="121"/>
      <c r="BB290" s="121"/>
      <c r="BC290" s="121"/>
      <c r="BD290" s="121"/>
      <c r="BE290" s="121"/>
      <c r="BF290" s="121"/>
    </row>
    <row r="291" spans="13:58" hidden="1"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49"/>
      <c r="AJ291" s="149"/>
      <c r="AK291" s="149"/>
      <c r="AL291" s="149"/>
      <c r="AM291" s="149"/>
      <c r="AN291" s="149"/>
      <c r="AO291" s="149"/>
      <c r="AP291" s="149"/>
      <c r="AQ291" s="150"/>
      <c r="AR291" s="121"/>
      <c r="AS291" s="121"/>
      <c r="AT291" s="121"/>
      <c r="AU291" s="121"/>
      <c r="AV291" s="121"/>
      <c r="AW291" s="121"/>
      <c r="AX291" s="121"/>
      <c r="AY291" s="121"/>
      <c r="AZ291" s="121"/>
      <c r="BA291" s="121"/>
      <c r="BB291" s="121"/>
      <c r="BC291" s="121"/>
      <c r="BD291" s="121"/>
      <c r="BE291" s="121"/>
      <c r="BF291" s="121"/>
    </row>
    <row r="292" spans="13:58" hidden="1"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49"/>
      <c r="AJ292" s="149"/>
      <c r="AK292" s="149"/>
      <c r="AL292" s="149"/>
      <c r="AM292" s="149"/>
      <c r="AN292" s="149"/>
      <c r="AO292" s="149"/>
      <c r="AP292" s="149"/>
      <c r="AQ292" s="150"/>
      <c r="AR292" s="121"/>
      <c r="AS292" s="121"/>
      <c r="AT292" s="121"/>
      <c r="AU292" s="121"/>
      <c r="AV292" s="121"/>
      <c r="AW292" s="121"/>
      <c r="AX292" s="121"/>
      <c r="AY292" s="121"/>
      <c r="AZ292" s="121"/>
      <c r="BA292" s="121"/>
      <c r="BB292" s="121"/>
      <c r="BC292" s="121"/>
      <c r="BD292" s="121"/>
      <c r="BE292" s="121"/>
      <c r="BF292" s="121"/>
    </row>
    <row r="293" spans="13:58" hidden="1"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49"/>
      <c r="AJ293" s="149"/>
      <c r="AK293" s="149"/>
      <c r="AL293" s="149"/>
      <c r="AM293" s="149"/>
      <c r="AN293" s="149"/>
      <c r="AO293" s="149"/>
      <c r="AP293" s="149"/>
      <c r="AQ293" s="150"/>
      <c r="AR293" s="121"/>
      <c r="AS293" s="121"/>
      <c r="AT293" s="121"/>
      <c r="AU293" s="121"/>
      <c r="AV293" s="121"/>
      <c r="AW293" s="121"/>
      <c r="AX293" s="121"/>
      <c r="AY293" s="121"/>
      <c r="AZ293" s="121"/>
      <c r="BA293" s="121"/>
      <c r="BB293" s="121"/>
      <c r="BC293" s="121"/>
      <c r="BD293" s="121"/>
      <c r="BE293" s="121"/>
      <c r="BF293" s="121"/>
    </row>
    <row r="294" spans="13:58" hidden="1"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  <c r="AA294" s="121"/>
      <c r="AB294" s="121"/>
      <c r="AC294" s="121"/>
      <c r="AD294" s="121"/>
      <c r="AE294" s="121"/>
      <c r="AF294" s="121"/>
      <c r="AG294" s="121"/>
      <c r="AH294" s="121"/>
      <c r="AI294" s="149"/>
      <c r="AJ294" s="149"/>
      <c r="AK294" s="149"/>
      <c r="AL294" s="149"/>
      <c r="AM294" s="149"/>
      <c r="AN294" s="149"/>
      <c r="AO294" s="149"/>
      <c r="AP294" s="149"/>
      <c r="AQ294" s="150"/>
      <c r="AR294" s="121"/>
      <c r="AS294" s="121"/>
      <c r="AT294" s="121"/>
      <c r="AU294" s="121"/>
      <c r="AV294" s="121"/>
      <c r="AW294" s="121"/>
      <c r="AX294" s="121"/>
      <c r="AY294" s="121"/>
      <c r="AZ294" s="121"/>
      <c r="BA294" s="121"/>
      <c r="BB294" s="121"/>
      <c r="BC294" s="121"/>
      <c r="BD294" s="121"/>
      <c r="BE294" s="121"/>
      <c r="BF294" s="121"/>
    </row>
    <row r="295" spans="13:58" hidden="1"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  <c r="AA295" s="121"/>
      <c r="AB295" s="121"/>
      <c r="AC295" s="121"/>
      <c r="AD295" s="121"/>
      <c r="AE295" s="121"/>
      <c r="AF295" s="121"/>
      <c r="AG295" s="121"/>
      <c r="AH295" s="121"/>
      <c r="AI295" s="149"/>
      <c r="AJ295" s="149"/>
      <c r="AK295" s="149"/>
      <c r="AL295" s="149"/>
      <c r="AM295" s="149"/>
      <c r="AN295" s="149"/>
      <c r="AO295" s="149"/>
      <c r="AP295" s="149"/>
      <c r="AQ295" s="150"/>
      <c r="AR295" s="121"/>
      <c r="AS295" s="121"/>
      <c r="AT295" s="121"/>
      <c r="AU295" s="121"/>
      <c r="AV295" s="121"/>
      <c r="AW295" s="121"/>
      <c r="AX295" s="121"/>
      <c r="AY295" s="121"/>
      <c r="AZ295" s="121"/>
      <c r="BA295" s="121"/>
      <c r="BB295" s="121"/>
      <c r="BC295" s="121"/>
      <c r="BD295" s="121"/>
      <c r="BE295" s="121"/>
      <c r="BF295" s="121"/>
    </row>
    <row r="296" spans="13:58" hidden="1"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49"/>
      <c r="AJ296" s="149"/>
      <c r="AK296" s="149"/>
      <c r="AL296" s="149"/>
      <c r="AM296" s="149"/>
      <c r="AN296" s="149"/>
      <c r="AO296" s="149"/>
      <c r="AP296" s="149"/>
      <c r="AQ296" s="150"/>
      <c r="AR296" s="121"/>
      <c r="AS296" s="121"/>
      <c r="AT296" s="121"/>
      <c r="AU296" s="121"/>
      <c r="AV296" s="121"/>
      <c r="AW296" s="121"/>
      <c r="AX296" s="121"/>
      <c r="AY296" s="121"/>
      <c r="AZ296" s="121"/>
      <c r="BA296" s="121"/>
      <c r="BB296" s="121"/>
      <c r="BC296" s="121"/>
      <c r="BD296" s="121"/>
      <c r="BE296" s="121"/>
      <c r="BF296" s="121"/>
    </row>
    <row r="297" spans="13:58" hidden="1"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49"/>
      <c r="AJ297" s="149"/>
      <c r="AK297" s="149"/>
      <c r="AL297" s="149"/>
      <c r="AM297" s="149"/>
      <c r="AN297" s="149"/>
      <c r="AO297" s="149"/>
      <c r="AP297" s="149"/>
      <c r="AQ297" s="150"/>
      <c r="AR297" s="121"/>
      <c r="AS297" s="121"/>
      <c r="AT297" s="121"/>
      <c r="AU297" s="121"/>
      <c r="AV297" s="121"/>
      <c r="AW297" s="121"/>
      <c r="AX297" s="121"/>
      <c r="AY297" s="121"/>
      <c r="AZ297" s="121"/>
      <c r="BA297" s="121"/>
      <c r="BB297" s="121"/>
      <c r="BC297" s="121"/>
      <c r="BD297" s="121"/>
      <c r="BE297" s="121"/>
      <c r="BF297" s="121"/>
    </row>
    <row r="298" spans="13:58" ht="13.5" hidden="1" thickBot="1"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49"/>
      <c r="AJ298" s="149"/>
      <c r="AK298" s="149"/>
      <c r="AL298" s="149"/>
      <c r="AM298" s="149"/>
      <c r="AN298" s="149"/>
      <c r="AO298" s="149"/>
      <c r="AP298" s="149"/>
      <c r="AQ298" s="150"/>
      <c r="AR298" s="121"/>
      <c r="AS298" s="121"/>
      <c r="AT298" s="121"/>
      <c r="AU298" s="121"/>
      <c r="AV298" s="121"/>
      <c r="AW298" s="121"/>
      <c r="AX298" s="121"/>
      <c r="AY298" s="121"/>
      <c r="AZ298" s="121"/>
      <c r="BA298" s="121"/>
      <c r="BB298" s="121"/>
      <c r="BC298" s="121"/>
      <c r="BD298" s="121"/>
      <c r="BE298" s="121"/>
      <c r="BF298" s="121"/>
    </row>
  </sheetData>
  <sheetProtection algorithmName="SHA-512" hashValue="Z22Yw7l2MFotGaInBo2Im4HTxUGqdwiulbLZO7MiqKUD44B1J8maoJbOEGSrdLrWLYsb0mR+NM1tGU2LyjbBOg==" saltValue="OX8WPM7Qkia7GJ287VHyYg==" spinCount="100000" sheet="1" selectLockedCells="1"/>
  <mergeCells count="59">
    <mergeCell ref="F133:H133"/>
    <mergeCell ref="G138:H138"/>
    <mergeCell ref="W162:AC162"/>
    <mergeCell ref="D64:E64"/>
    <mergeCell ref="B68:D68"/>
    <mergeCell ref="E79:E80"/>
    <mergeCell ref="E81:E82"/>
    <mergeCell ref="D89:E89"/>
    <mergeCell ref="B90:F91"/>
    <mergeCell ref="AN172:AQ172"/>
    <mergeCell ref="B144:I144"/>
    <mergeCell ref="W159:AC159"/>
    <mergeCell ref="W160:AC160"/>
    <mergeCell ref="W161:AC161"/>
    <mergeCell ref="E40:E41"/>
    <mergeCell ref="G121:H121"/>
    <mergeCell ref="A57:A71"/>
    <mergeCell ref="B64:C64"/>
    <mergeCell ref="A94:A106"/>
    <mergeCell ref="B105:I106"/>
    <mergeCell ref="A109:A145"/>
    <mergeCell ref="E127:F127"/>
    <mergeCell ref="E128:F128"/>
    <mergeCell ref="G122:H122"/>
    <mergeCell ref="F131:I132"/>
    <mergeCell ref="E116:E117"/>
    <mergeCell ref="C116:C117"/>
    <mergeCell ref="G137:H137"/>
    <mergeCell ref="A72:A93"/>
    <mergeCell ref="G123:H123"/>
    <mergeCell ref="A1:I1"/>
    <mergeCell ref="B4:B5"/>
    <mergeCell ref="B7:B8"/>
    <mergeCell ref="B10:B11"/>
    <mergeCell ref="C4:I5"/>
    <mergeCell ref="A2:A24"/>
    <mergeCell ref="C7:I8"/>
    <mergeCell ref="C10:I11"/>
    <mergeCell ref="B13:D13"/>
    <mergeCell ref="C23:D23"/>
    <mergeCell ref="C24:G24"/>
    <mergeCell ref="B18:D18"/>
    <mergeCell ref="F19:I21"/>
    <mergeCell ref="A25:A32"/>
    <mergeCell ref="B30:F30"/>
    <mergeCell ref="G57:H57"/>
    <mergeCell ref="B63:D63"/>
    <mergeCell ref="C36:D37"/>
    <mergeCell ref="B36:B37"/>
    <mergeCell ref="A48:A56"/>
    <mergeCell ref="B49:E49"/>
    <mergeCell ref="B51:C51"/>
    <mergeCell ref="B53:C53"/>
    <mergeCell ref="G39:G40"/>
    <mergeCell ref="B40:D41"/>
    <mergeCell ref="A33:A47"/>
    <mergeCell ref="B44:G45"/>
    <mergeCell ref="E63:H63"/>
    <mergeCell ref="B55:G55"/>
  </mergeCells>
  <conditionalFormatting sqref="C36">
    <cfRule type="cellIs" dxfId="0" priority="1" operator="equal">
      <formula>"SE Abrigada NT.00002.EQTL"</formula>
    </cfRule>
  </conditionalFormatting>
  <dataValidations count="9">
    <dataValidation allowBlank="1" showErrorMessage="1" promptTitle="Proprietário" prompt="Inserir o nome dos proprietários" sqref="C4 C7 C10"/>
    <dataValidation allowBlank="1" showInputMessage="1" showErrorMessage="1" promptTitle="Endereço" prompt="Inserir o Endereço de Instalação _x000a_" sqref="C9:I9 C12:I12"/>
    <dataValidation type="list" allowBlank="1" showInputMessage="1" showErrorMessage="1" promptTitle="ELETRODUTO" prompt="Especifique o material do Eletroduto a ser Instalado" sqref="C23">
      <formula1>$AG$173:$AG$176</formula1>
    </dataValidation>
    <dataValidation type="list" allowBlank="1" showInputMessage="1" showErrorMessage="1" sqref="C15 C17">
      <formula1>$AJ$173:$AJ$273</formula1>
    </dataValidation>
    <dataValidation allowBlank="1" showInputMessage="1" showErrorMessage="1" promptTitle="SOLICITAÇÃO" prompt="Insira o número da SA" sqref="C6"/>
    <dataValidation type="list" showDropDown="1" showInputMessage="1" showErrorMessage="1" sqref="C29">
      <formula1>#REF!</formula1>
    </dataValidation>
    <dataValidation showInputMessage="1" showErrorMessage="1" sqref="C28"/>
    <dataValidation type="list" allowBlank="1" showInputMessage="1" showErrorMessage="1" sqref="C14">
      <formula1>$T$8:$T$10</formula1>
    </dataValidation>
    <dataValidation type="list" allowBlank="1" showInputMessage="1" showErrorMessage="1" sqref="C16">
      <formula1>$U$8:$U$9</formula1>
    </dataValidation>
  </dataValidations>
  <printOptions horizontalCentered="1"/>
  <pageMargins left="0.196850393700787" right="0.196850393700787" top="0.35433070866141703" bottom="0.35433070866141703" header="0.31496062992126" footer="0.31496062992126"/>
  <pageSetup paperSize="9" scale="80" orientation="portrait" horizontalDpi="300" verticalDpi="300" r:id="rId1"/>
  <headerFooter alignWithMargins="0"/>
  <ignoredErrors>
    <ignoredError sqref="C20" unlockedFormula="1"/>
  </ignoredErrors>
  <drawing r:id="rId2"/>
  <legacyDrawing r:id="rId3"/>
  <oleObjects>
    <mc:AlternateContent xmlns:mc="http://schemas.openxmlformats.org/markup-compatibility/2006">
      <mc:Choice Requires="x14">
        <oleObject progId="Equation.3" shapeId="6145" r:id="rId4">
          <objectPr defaultSize="0" autoPict="0" r:id="rId5">
            <anchor moveWithCells="1" sizeWithCells="1">
              <from>
                <xdr:col>1</xdr:col>
                <xdr:colOff>304800</xdr:colOff>
                <xdr:row>71</xdr:row>
                <xdr:rowOff>0</xdr:rowOff>
              </from>
              <to>
                <xdr:col>2</xdr:col>
                <xdr:colOff>152400</xdr:colOff>
                <xdr:row>71</xdr:row>
                <xdr:rowOff>0</xdr:rowOff>
              </to>
            </anchor>
          </objectPr>
        </oleObject>
      </mc:Choice>
      <mc:Fallback>
        <oleObject progId="Equation.3" shapeId="6145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Plan21"/>
  <dimension ref="A1:D40"/>
  <sheetViews>
    <sheetView workbookViewId="0">
      <selection activeCell="D27" sqref="D27"/>
    </sheetView>
  </sheetViews>
  <sheetFormatPr defaultColWidth="9.140625" defaultRowHeight="12.75"/>
  <cols>
    <col min="1" max="1" width="18.42578125" style="170" bestFit="1" customWidth="1"/>
    <col min="2" max="2" width="20" style="170" customWidth="1"/>
    <col min="3" max="3" width="14.85546875" style="170" customWidth="1"/>
    <col min="4" max="16384" width="9.140625" style="170"/>
  </cols>
  <sheetData>
    <row r="1" spans="1:4">
      <c r="A1" s="448" t="s">
        <v>110</v>
      </c>
      <c r="B1" s="448"/>
      <c r="C1" s="448"/>
    </row>
    <row r="2" spans="1:4" ht="13.5" thickBot="1">
      <c r="A2" s="449" t="s">
        <v>111</v>
      </c>
      <c r="B2" s="451" t="s">
        <v>112</v>
      </c>
      <c r="C2" s="452"/>
    </row>
    <row r="3" spans="1:4" ht="13.5" thickBot="1">
      <c r="A3" s="450"/>
      <c r="B3" s="171" t="s">
        <v>113</v>
      </c>
      <c r="C3" s="172" t="s">
        <v>114</v>
      </c>
    </row>
    <row r="4" spans="1:4" ht="14.25" thickTop="1" thickBot="1">
      <c r="A4" s="173">
        <v>75</v>
      </c>
      <c r="B4" s="173">
        <v>60</v>
      </c>
      <c r="C4" s="174">
        <v>75</v>
      </c>
    </row>
    <row r="5" spans="1:4" ht="13.5" thickBot="1">
      <c r="A5" s="173">
        <v>112.5</v>
      </c>
      <c r="B5" s="173">
        <v>75.099999999999994</v>
      </c>
      <c r="C5" s="174">
        <v>112.5</v>
      </c>
    </row>
    <row r="6" spans="1:4" ht="13.5" thickBot="1">
      <c r="A6" s="173">
        <v>150</v>
      </c>
      <c r="B6" s="173">
        <v>112.6</v>
      </c>
      <c r="C6" s="174">
        <v>150</v>
      </c>
    </row>
    <row r="7" spans="1:4" ht="13.5" thickBot="1">
      <c r="A7" s="173">
        <v>225</v>
      </c>
      <c r="B7" s="173">
        <v>150.1</v>
      </c>
      <c r="C7" s="174">
        <v>225</v>
      </c>
    </row>
    <row r="8" spans="1:4">
      <c r="A8" s="175">
        <v>300</v>
      </c>
      <c r="B8" s="175">
        <v>225.1</v>
      </c>
      <c r="C8" s="176">
        <v>300</v>
      </c>
    </row>
    <row r="10" spans="1:4" ht="13.5" thickBot="1">
      <c r="A10" s="453" t="s">
        <v>115</v>
      </c>
      <c r="B10" s="453"/>
    </row>
    <row r="11" spans="1:4" ht="25.5" thickTop="1" thickBot="1">
      <c r="A11" s="177" t="s">
        <v>111</v>
      </c>
      <c r="B11" s="178" t="s">
        <v>116</v>
      </c>
      <c r="C11" s="179" t="s">
        <v>117</v>
      </c>
      <c r="D11" s="179" t="s">
        <v>118</v>
      </c>
    </row>
    <row r="12" spans="1:4" ht="13.5" thickBot="1">
      <c r="A12" s="173" t="s">
        <v>119</v>
      </c>
      <c r="B12" s="174" t="s">
        <v>120</v>
      </c>
      <c r="C12" s="179">
        <v>300</v>
      </c>
      <c r="D12" s="179">
        <v>11</v>
      </c>
    </row>
    <row r="13" spans="1:4" ht="13.5" thickBot="1">
      <c r="A13" s="173">
        <v>112.5</v>
      </c>
      <c r="B13" s="174" t="s">
        <v>121</v>
      </c>
      <c r="C13" s="179">
        <v>600</v>
      </c>
      <c r="D13" s="179">
        <v>11</v>
      </c>
    </row>
    <row r="14" spans="1:4" ht="13.5" thickBot="1">
      <c r="A14" s="173">
        <v>150</v>
      </c>
      <c r="B14" s="174" t="s">
        <v>121</v>
      </c>
      <c r="C14" s="179">
        <v>600</v>
      </c>
      <c r="D14" s="179">
        <v>11</v>
      </c>
    </row>
    <row r="15" spans="1:4" ht="13.5" thickBot="1">
      <c r="A15" s="173">
        <v>225</v>
      </c>
      <c r="B15" s="174" t="s">
        <v>122</v>
      </c>
      <c r="C15" s="179">
        <v>1000</v>
      </c>
      <c r="D15" s="179">
        <v>11</v>
      </c>
    </row>
    <row r="16" spans="1:4" ht="13.5" thickBot="1">
      <c r="A16" s="180">
        <v>300</v>
      </c>
      <c r="B16" s="181" t="s">
        <v>123</v>
      </c>
      <c r="C16" s="179">
        <v>1000</v>
      </c>
      <c r="D16" s="179">
        <v>11</v>
      </c>
    </row>
    <row r="17" spans="1:2" ht="13.5" thickTop="1"/>
    <row r="19" spans="1:2" ht="13.5" thickBot="1">
      <c r="A19" s="453" t="s">
        <v>124</v>
      </c>
      <c r="B19" s="453"/>
    </row>
    <row r="20" spans="1:2" ht="39.75" thickTop="1" thickBot="1">
      <c r="A20" s="182" t="s">
        <v>111</v>
      </c>
      <c r="B20" s="183" t="s">
        <v>125</v>
      </c>
    </row>
    <row r="21" spans="1:2" ht="13.5" thickBot="1">
      <c r="A21" s="184">
        <v>10</v>
      </c>
      <c r="B21" s="185">
        <v>1</v>
      </c>
    </row>
    <row r="22" spans="1:2" ht="13.5" thickBot="1">
      <c r="A22" s="184">
        <v>15</v>
      </c>
      <c r="B22" s="185">
        <v>1.5</v>
      </c>
    </row>
    <row r="23" spans="1:2" ht="13.5" thickBot="1">
      <c r="A23" s="184">
        <v>30</v>
      </c>
      <c r="B23" s="185">
        <v>2</v>
      </c>
    </row>
    <row r="24" spans="1:2" ht="13.5" thickBot="1">
      <c r="A24" s="184">
        <v>45</v>
      </c>
      <c r="B24" s="185">
        <v>3</v>
      </c>
    </row>
    <row r="25" spans="1:2" ht="13.5" thickBot="1">
      <c r="A25" s="184">
        <v>75</v>
      </c>
      <c r="B25" s="185">
        <v>4</v>
      </c>
    </row>
    <row r="26" spans="1:2" ht="13.5" thickBot="1">
      <c r="A26" s="184">
        <v>112.5</v>
      </c>
      <c r="B26" s="185">
        <v>5</v>
      </c>
    </row>
    <row r="27" spans="1:2" ht="13.5" thickBot="1">
      <c r="A27" s="184">
        <v>150</v>
      </c>
      <c r="B27" s="185">
        <v>6</v>
      </c>
    </row>
    <row r="28" spans="1:2" ht="13.5" thickBot="1">
      <c r="A28" s="184">
        <v>225</v>
      </c>
      <c r="B28" s="185">
        <v>7.5</v>
      </c>
    </row>
    <row r="29" spans="1:2" ht="13.5" thickBot="1">
      <c r="A29" s="184">
        <v>300</v>
      </c>
      <c r="B29" s="185">
        <v>8</v>
      </c>
    </row>
    <row r="30" spans="1:2" ht="13.5" thickBot="1">
      <c r="A30" s="184">
        <v>500</v>
      </c>
      <c r="B30" s="185">
        <v>12.5</v>
      </c>
    </row>
    <row r="31" spans="1:2" ht="13.5" thickBot="1">
      <c r="A31" s="184">
        <v>750</v>
      </c>
      <c r="B31" s="185">
        <v>17</v>
      </c>
    </row>
    <row r="32" spans="1:2" ht="13.5" thickBot="1">
      <c r="A32" s="186">
        <v>1000</v>
      </c>
      <c r="B32" s="187">
        <v>19</v>
      </c>
    </row>
    <row r="33" spans="1:2" ht="13.5" thickTop="1"/>
    <row r="34" spans="1:2" ht="13.5" thickBot="1"/>
    <row r="35" spans="1:2" ht="14.25" thickTop="1" thickBot="1">
      <c r="A35" s="182" t="s">
        <v>126</v>
      </c>
      <c r="B35" s="182" t="s">
        <v>127</v>
      </c>
    </row>
    <row r="36" spans="1:2">
      <c r="A36" s="264">
        <v>34.5</v>
      </c>
      <c r="B36" s="264" t="s">
        <v>23</v>
      </c>
    </row>
    <row r="37" spans="1:2">
      <c r="A37" s="264">
        <v>13.8</v>
      </c>
      <c r="B37" s="264" t="s">
        <v>22</v>
      </c>
    </row>
    <row r="38" spans="1:2">
      <c r="A38" s="264"/>
      <c r="B38" s="264"/>
    </row>
    <row r="39" spans="1:2">
      <c r="A39" s="264"/>
      <c r="B39" s="264"/>
    </row>
    <row r="40" spans="1:2" ht="13.5" thickBot="1">
      <c r="A40" s="264"/>
      <c r="B40" s="264"/>
    </row>
  </sheetData>
  <mergeCells count="5">
    <mergeCell ref="A1:C1"/>
    <mergeCell ref="A2:A3"/>
    <mergeCell ref="B2:C2"/>
    <mergeCell ref="A10:B10"/>
    <mergeCell ref="A19:B19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codeName="Plan2">
    <pageSetUpPr fitToPage="1"/>
  </sheetPr>
  <dimension ref="B1:M34"/>
  <sheetViews>
    <sheetView showGridLines="0" view="pageBreakPreview" zoomScaleNormal="100" zoomScaleSheetLayoutView="100" workbookViewId="0">
      <selection activeCell="D16" sqref="D16"/>
    </sheetView>
  </sheetViews>
  <sheetFormatPr defaultColWidth="9.140625" defaultRowHeight="15"/>
  <cols>
    <col min="1" max="1" width="1.28515625" customWidth="1"/>
    <col min="2" max="2" width="7.42578125" customWidth="1"/>
    <col min="3" max="3" width="20.140625" customWidth="1"/>
    <col min="4" max="4" width="11.28515625" customWidth="1"/>
    <col min="5" max="5" width="9.85546875" customWidth="1"/>
    <col min="6" max="6" width="16.5703125" customWidth="1"/>
    <col min="7" max="7" width="6.28515625" customWidth="1"/>
    <col min="8" max="8" width="17.42578125" customWidth="1"/>
    <col min="9" max="9" width="6.28515625" customWidth="1"/>
    <col min="10" max="10" width="18.42578125" customWidth="1"/>
    <col min="11" max="11" width="19.7109375" customWidth="1"/>
    <col min="12" max="12" width="2.42578125" customWidth="1"/>
  </cols>
  <sheetData>
    <row r="1" spans="2:13" ht="53.25" customHeight="1"/>
    <row r="2" spans="2:13">
      <c r="B2" s="8" t="s">
        <v>12</v>
      </c>
      <c r="C2" s="460"/>
      <c r="D2" s="461"/>
      <c r="E2" s="462"/>
      <c r="F2" s="1">
        <f>'QUADRO DE CARGAS'!F105</f>
        <v>0</v>
      </c>
      <c r="G2" s="10"/>
      <c r="H2" s="1">
        <f>'QUADRO DE CARGAS'!H105</f>
        <v>0</v>
      </c>
      <c r="I2" s="10"/>
      <c r="J2" s="1">
        <f>'QUADRO DE CARGAS'!J105</f>
        <v>0</v>
      </c>
      <c r="K2" s="1">
        <f>'QUADRO DE CARGAS'!K105</f>
        <v>0</v>
      </c>
      <c r="L2" s="9"/>
    </row>
    <row r="3" spans="2:13" ht="15" customHeight="1">
      <c r="B3" s="463" t="s">
        <v>13</v>
      </c>
      <c r="C3" s="464"/>
      <c r="D3" s="464"/>
      <c r="E3" s="465"/>
      <c r="F3" s="11">
        <f>'QUADRO DE CARGAS'!F106</f>
        <v>0</v>
      </c>
      <c r="G3" s="12"/>
      <c r="H3" s="13"/>
      <c r="I3" s="12"/>
      <c r="J3" s="13"/>
      <c r="K3" s="14"/>
      <c r="L3" s="9"/>
    </row>
    <row r="4" spans="2:13" ht="15" customHeight="1">
      <c r="B4" s="463" t="s">
        <v>14</v>
      </c>
      <c r="C4" s="464"/>
      <c r="D4" s="464"/>
      <c r="E4" s="465"/>
      <c r="F4" s="15">
        <f>'QUADRO DE CARGAS'!F107</f>
        <v>0.92</v>
      </c>
      <c r="G4" s="12"/>
      <c r="H4" s="13"/>
      <c r="I4" s="12"/>
      <c r="J4" s="13"/>
      <c r="K4" s="14"/>
      <c r="L4" s="9"/>
    </row>
    <row r="5" spans="2:13" ht="15" customHeight="1">
      <c r="B5" s="463" t="s">
        <v>15</v>
      </c>
      <c r="C5" s="464"/>
      <c r="D5" s="464"/>
      <c r="E5" s="465"/>
      <c r="F5" s="2" t="str">
        <f>'QUADRO DE CARGAS'!F108</f>
        <v xml:space="preserve"> </v>
      </c>
      <c r="G5" s="458"/>
      <c r="H5" s="459"/>
      <c r="I5" s="10"/>
      <c r="J5" s="10"/>
      <c r="K5" s="10"/>
      <c r="L5" s="9"/>
    </row>
    <row r="6" spans="2:13" ht="15.75" thickBot="1">
      <c r="B6" s="10"/>
      <c r="C6" s="10"/>
      <c r="D6" s="10"/>
      <c r="E6" s="10"/>
      <c r="F6" s="10"/>
      <c r="G6" s="10"/>
      <c r="H6" s="10"/>
      <c r="I6" s="10"/>
      <c r="J6" s="10"/>
      <c r="K6" s="10"/>
      <c r="L6" s="9"/>
    </row>
    <row r="7" spans="2:13" ht="27" customHeight="1" thickTop="1" thickBot="1">
      <c r="B7" s="455" t="s">
        <v>128</v>
      </c>
      <c r="C7" s="455"/>
      <c r="D7" s="455"/>
      <c r="E7" s="455"/>
      <c r="F7" s="455"/>
      <c r="G7" s="455"/>
      <c r="H7" s="455"/>
      <c r="I7" s="10"/>
      <c r="J7" s="266" t="s">
        <v>129</v>
      </c>
      <c r="K7" s="16" t="s">
        <v>130</v>
      </c>
      <c r="L7" s="9"/>
    </row>
    <row r="8" spans="2:13" ht="15.75" thickBot="1">
      <c r="B8" s="17"/>
      <c r="C8" s="17"/>
      <c r="D8" s="17"/>
      <c r="E8" s="17"/>
      <c r="F8" s="10"/>
      <c r="G8" s="10"/>
      <c r="H8" s="10"/>
      <c r="I8" s="10"/>
      <c r="J8" s="288" t="s">
        <v>131</v>
      </c>
      <c r="K8" s="18">
        <v>75</v>
      </c>
      <c r="L8" s="9"/>
    </row>
    <row r="9" spans="2:13" ht="15.75" thickBot="1">
      <c r="B9" s="454" t="s">
        <v>132</v>
      </c>
      <c r="C9" s="454"/>
      <c r="D9" s="454"/>
      <c r="E9" s="454"/>
      <c r="F9" s="10"/>
      <c r="G9" s="10"/>
      <c r="H9" s="10"/>
      <c r="I9" s="10"/>
      <c r="J9" s="267" t="s">
        <v>133</v>
      </c>
      <c r="K9" s="18">
        <v>112.5</v>
      </c>
      <c r="L9" s="9"/>
    </row>
    <row r="10" spans="2:13" ht="15" customHeight="1" thickBot="1">
      <c r="B10" s="17"/>
      <c r="C10" s="17"/>
      <c r="D10" s="17"/>
      <c r="E10" s="17"/>
      <c r="F10" s="10"/>
      <c r="G10" s="10"/>
      <c r="H10" s="10"/>
      <c r="I10" s="10"/>
      <c r="J10" s="267" t="s">
        <v>134</v>
      </c>
      <c r="K10" s="18">
        <v>150</v>
      </c>
      <c r="L10" s="9"/>
    </row>
    <row r="11" spans="2:13" ht="15.75" thickBot="1">
      <c r="B11" s="454" t="s">
        <v>135</v>
      </c>
      <c r="C11" s="454"/>
      <c r="D11" s="454"/>
      <c r="E11" s="454"/>
      <c r="F11" s="454"/>
      <c r="G11" s="10"/>
      <c r="H11" s="10"/>
      <c r="I11" s="10"/>
      <c r="J11" s="267" t="s">
        <v>136</v>
      </c>
      <c r="K11" s="18">
        <v>225</v>
      </c>
      <c r="L11" s="9"/>
    </row>
    <row r="12" spans="2:13" ht="15" customHeight="1" thickBot="1">
      <c r="B12" s="19"/>
      <c r="C12" s="19"/>
      <c r="D12" s="19"/>
      <c r="E12" s="19"/>
      <c r="F12" s="10"/>
      <c r="G12" s="10"/>
      <c r="H12" s="10"/>
      <c r="I12" s="10"/>
      <c r="J12" s="267" t="s">
        <v>137</v>
      </c>
      <c r="K12" s="18">
        <v>300</v>
      </c>
      <c r="L12" s="9"/>
    </row>
    <row r="13" spans="2:13" ht="15.75" customHeight="1">
      <c r="B13" s="19" t="s">
        <v>138</v>
      </c>
      <c r="C13" s="3">
        <f>K2</f>
        <v>0</v>
      </c>
      <c r="D13" s="10"/>
      <c r="E13" s="10"/>
      <c r="F13" s="10"/>
      <c r="G13" s="10"/>
      <c r="H13" s="10"/>
      <c r="I13" s="10"/>
      <c r="J13" s="23"/>
      <c r="K13" s="23"/>
      <c r="L13" s="9"/>
    </row>
    <row r="14" spans="2:13" ht="15" customHeight="1">
      <c r="B14" s="20"/>
      <c r="C14" s="21"/>
      <c r="D14" s="10"/>
      <c r="E14" s="10"/>
      <c r="F14" s="10"/>
      <c r="G14" s="10"/>
      <c r="H14" s="10"/>
      <c r="I14" s="10"/>
      <c r="J14" s="23"/>
      <c r="K14" s="23"/>
      <c r="L14" s="9"/>
    </row>
    <row r="15" spans="2:13" ht="15.75">
      <c r="B15" s="456" t="s">
        <v>139</v>
      </c>
      <c r="C15" s="457"/>
      <c r="D15" s="265" t="str">
        <f>IF(C13&lt;60,"Atendimento em BT",IF(AND(C13&gt;=60,C13&lt;=82.9),K8,IF(AND(C13&gt;=83.1,C13&lt;=124.9),K9,IF(AND(C13&gt;=125,C13&lt;=165.9),K10,IF(AND(C13&gt;=166,C13&lt;=248.9),K11,IF(AND(C13&gt;=249,C13&lt;=330),K12,""))))))</f>
        <v>Atendimento em BT</v>
      </c>
      <c r="E15" s="22" t="s">
        <v>140</v>
      </c>
      <c r="F15" s="10"/>
      <c r="G15" s="10"/>
      <c r="H15" s="10"/>
      <c r="I15" s="10"/>
      <c r="J15" s="23"/>
      <c r="K15" s="23"/>
      <c r="L15" s="9"/>
    </row>
    <row r="16" spans="2:13" ht="15" customHeight="1">
      <c r="B16" s="10"/>
      <c r="C16" s="10"/>
      <c r="D16" s="10"/>
      <c r="E16" s="10"/>
      <c r="F16" s="10"/>
      <c r="G16" s="10"/>
      <c r="H16" s="10"/>
      <c r="I16" s="10"/>
      <c r="J16" s="23"/>
      <c r="K16" s="23"/>
      <c r="L16" s="9"/>
      <c r="M16" s="274"/>
    </row>
    <row r="17" spans="2:12">
      <c r="B17" s="23"/>
      <c r="C17" s="23"/>
      <c r="D17" s="23"/>
      <c r="E17" s="23"/>
      <c r="F17" s="23"/>
      <c r="G17" s="23"/>
      <c r="H17" s="23"/>
      <c r="I17" s="23"/>
      <c r="J17" s="26"/>
      <c r="K17" s="26"/>
      <c r="L17" s="9"/>
    </row>
    <row r="18" spans="2:12" ht="15.75" customHeight="1">
      <c r="B18" s="455" t="s">
        <v>141</v>
      </c>
      <c r="C18" s="455"/>
      <c r="D18" s="455"/>
      <c r="E18" s="455"/>
      <c r="F18" s="455"/>
      <c r="G18" s="455"/>
      <c r="H18" s="455"/>
      <c r="I18" s="455"/>
      <c r="J18" s="26"/>
      <c r="K18" s="26"/>
      <c r="L18" s="9"/>
    </row>
    <row r="19" spans="2:12" ht="8.25" customHeight="1">
      <c r="B19" s="23"/>
      <c r="C19" s="23"/>
      <c r="D19" s="23"/>
      <c r="E19" s="23"/>
      <c r="F19" s="23"/>
      <c r="G19" s="23"/>
      <c r="H19" s="23"/>
      <c r="I19" s="23"/>
      <c r="J19" s="26"/>
      <c r="K19" s="26"/>
      <c r="L19" s="9"/>
    </row>
    <row r="20" spans="2:12" ht="15" customHeight="1">
      <c r="B20" s="454" t="s">
        <v>142</v>
      </c>
      <c r="C20" s="454"/>
      <c r="D20" s="454"/>
      <c r="E20" s="454"/>
      <c r="F20" s="454"/>
      <c r="G20" s="454"/>
      <c r="H20" s="454"/>
      <c r="I20" s="454"/>
      <c r="J20" s="26"/>
      <c r="K20" s="26"/>
      <c r="L20" s="9"/>
    </row>
    <row r="21" spans="2:12" ht="8.25" customHeight="1">
      <c r="B21" s="25"/>
      <c r="C21" s="25"/>
      <c r="D21" s="25"/>
      <c r="E21" s="25"/>
      <c r="F21" s="26"/>
      <c r="G21" s="26"/>
      <c r="H21" s="26"/>
      <c r="I21" s="26"/>
      <c r="J21" s="26"/>
      <c r="K21" s="26"/>
    </row>
    <row r="22" spans="2:12">
      <c r="B22" s="25" t="s">
        <v>143</v>
      </c>
      <c r="C22" s="4">
        <f>F2</f>
        <v>0</v>
      </c>
      <c r="D22" s="25"/>
      <c r="E22" s="25"/>
      <c r="F22" s="26"/>
      <c r="G22" s="26"/>
      <c r="H22" s="26"/>
      <c r="I22" s="26"/>
      <c r="J22" s="26"/>
      <c r="K22" s="26"/>
    </row>
    <row r="23" spans="2:12">
      <c r="B23" s="25" t="s">
        <v>144</v>
      </c>
      <c r="C23" s="4">
        <f>J2</f>
        <v>0</v>
      </c>
      <c r="D23" s="25"/>
      <c r="E23" s="25"/>
      <c r="F23" s="26"/>
      <c r="G23" s="26"/>
      <c r="H23" s="26"/>
      <c r="I23" s="26"/>
      <c r="J23" s="26"/>
      <c r="K23" s="26"/>
    </row>
    <row r="24" spans="2:12">
      <c r="B24" s="25" t="s">
        <v>145</v>
      </c>
      <c r="C24" s="5">
        <f>IF('QUADRO DE CARGAS'!F107&gt;='QUADRO DE CARGAS'!F108,TAN(ACOS(F5))-TAN(ACOS(F4)),0)</f>
        <v>0</v>
      </c>
      <c r="D24" s="25"/>
      <c r="E24" s="25"/>
      <c r="F24" s="26"/>
      <c r="G24" s="26"/>
      <c r="H24" s="26"/>
      <c r="I24" s="26"/>
      <c r="J24" s="26"/>
      <c r="K24" s="26"/>
    </row>
    <row r="25" spans="2:12" ht="9.75" customHeight="1">
      <c r="B25" s="25"/>
      <c r="C25" s="25"/>
      <c r="D25" s="25"/>
      <c r="E25" s="25"/>
      <c r="F25" s="26"/>
      <c r="G25" s="26"/>
      <c r="H25" s="26"/>
      <c r="I25" s="26"/>
      <c r="J25" s="30"/>
      <c r="K25" s="30"/>
    </row>
    <row r="26" spans="2:12" ht="15.75">
      <c r="B26" s="27" t="s">
        <v>146</v>
      </c>
      <c r="C26" s="6">
        <f>IFERROR(C22*C24," ")</f>
        <v>0</v>
      </c>
      <c r="D26" s="28" t="s">
        <v>40</v>
      </c>
      <c r="E26" s="24" t="s">
        <v>147</v>
      </c>
      <c r="F26" s="26"/>
      <c r="G26" s="26"/>
      <c r="H26" s="26"/>
      <c r="I26" s="26"/>
    </row>
    <row r="27" spans="2:12" ht="5.25" customHeight="1">
      <c r="B27" s="25"/>
      <c r="C27" s="25"/>
      <c r="D27" s="25"/>
      <c r="E27" s="25"/>
      <c r="F27" s="26"/>
      <c r="G27" s="26"/>
      <c r="H27" s="26"/>
      <c r="I27" s="26"/>
      <c r="J27" s="30"/>
      <c r="K27" s="30"/>
    </row>
    <row r="28" spans="2:12">
      <c r="B28" s="26"/>
      <c r="C28" s="26"/>
      <c r="D28" s="26"/>
      <c r="E28" s="30"/>
      <c r="F28" s="30"/>
      <c r="J28" s="30"/>
      <c r="K28" s="30"/>
    </row>
    <row r="29" spans="2:12">
      <c r="B29" s="29"/>
      <c r="C29" s="29"/>
      <c r="D29" s="29"/>
      <c r="E29" s="29"/>
      <c r="F29" s="30"/>
      <c r="G29" s="30"/>
      <c r="H29" s="30"/>
      <c r="I29" s="30"/>
      <c r="J29" s="30"/>
      <c r="K29" s="30"/>
    </row>
    <row r="30" spans="2:12">
      <c r="B30" s="29"/>
      <c r="C30" s="29"/>
      <c r="D30" s="29"/>
      <c r="E30" s="29"/>
      <c r="F30" s="30"/>
      <c r="G30" s="30"/>
      <c r="H30" s="30"/>
      <c r="I30" s="30"/>
      <c r="J30" s="30"/>
      <c r="K30" s="30"/>
    </row>
    <row r="31" spans="2:12">
      <c r="B31" s="29"/>
      <c r="C31" s="29"/>
      <c r="D31" s="29"/>
      <c r="E31" s="29"/>
      <c r="F31" s="30"/>
      <c r="G31" s="30"/>
      <c r="H31" s="30"/>
      <c r="I31" s="30"/>
    </row>
    <row r="32" spans="2:12">
      <c r="B32" s="29"/>
      <c r="C32" s="29"/>
      <c r="D32" s="29"/>
      <c r="E32" s="29"/>
      <c r="F32" s="30"/>
      <c r="G32" s="30"/>
      <c r="H32" s="30"/>
      <c r="I32" s="30"/>
    </row>
    <row r="33" spans="2:9">
      <c r="B33" s="29"/>
      <c r="C33" s="29"/>
      <c r="D33" s="29"/>
      <c r="E33" s="29"/>
      <c r="F33" s="30"/>
      <c r="G33" s="30"/>
      <c r="H33" s="30"/>
      <c r="I33" s="30"/>
    </row>
    <row r="34" spans="2:9">
      <c r="B34" s="30"/>
      <c r="C34" s="30"/>
      <c r="D34" s="30"/>
      <c r="E34" s="30"/>
      <c r="F34" s="30"/>
      <c r="G34" s="30"/>
      <c r="H34" s="30"/>
      <c r="I34" s="30"/>
    </row>
  </sheetData>
  <sheetProtection selectLockedCells="1"/>
  <mergeCells count="11">
    <mergeCell ref="G5:H5"/>
    <mergeCell ref="C2:E2"/>
    <mergeCell ref="B3:E3"/>
    <mergeCell ref="B4:E4"/>
    <mergeCell ref="B5:E5"/>
    <mergeCell ref="B20:I20"/>
    <mergeCell ref="B7:H7"/>
    <mergeCell ref="B9:E9"/>
    <mergeCell ref="B11:F11"/>
    <mergeCell ref="B15:C15"/>
    <mergeCell ref="B18:I18"/>
  </mergeCells>
  <printOptions horizontalCentered="1"/>
  <pageMargins left="0.511811023622047" right="0.511811023622047" top="0.59055118110236204" bottom="0.59055118110236204" header="0.31496062992126" footer="0.31496062992126"/>
  <pageSetup paperSize="9" scale="69" orientation="portrait" r:id="rId1"/>
  <rowBreaks count="1" manualBreakCount="1">
    <brk id="5" min="1" max="10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codeName="Plan7"/>
  <dimension ref="A1:G25"/>
  <sheetViews>
    <sheetView workbookViewId="0">
      <selection activeCell="E27" sqref="E27"/>
    </sheetView>
  </sheetViews>
  <sheetFormatPr defaultColWidth="9.140625" defaultRowHeight="12.75"/>
  <cols>
    <col min="1" max="1" width="19.28515625" style="170" customWidth="1"/>
    <col min="2" max="2" width="24.28515625" style="170" customWidth="1"/>
    <col min="3" max="3" width="19.85546875" style="170" customWidth="1"/>
    <col min="4" max="5" width="16.85546875" style="170" customWidth="1"/>
    <col min="6" max="16384" width="9.140625" style="170"/>
  </cols>
  <sheetData>
    <row r="1" spans="1:7" ht="15.75" thickBot="1">
      <c r="A1" s="466" t="s">
        <v>148</v>
      </c>
      <c r="B1" s="466"/>
      <c r="C1" s="466"/>
    </row>
    <row r="2" spans="1:7" ht="25.5" customHeight="1" thickTop="1" thickBot="1">
      <c r="A2" s="467" t="s">
        <v>149</v>
      </c>
      <c r="B2" s="467"/>
      <c r="C2" s="467"/>
    </row>
    <row r="3" spans="1:7" ht="36" customHeight="1" thickBot="1">
      <c r="A3" s="188" t="s">
        <v>150</v>
      </c>
      <c r="B3" s="189"/>
      <c r="C3" s="190"/>
    </row>
    <row r="4" spans="1:7" ht="13.5" thickBot="1">
      <c r="A4" s="191">
        <v>5</v>
      </c>
      <c r="B4" s="191" t="s">
        <v>151</v>
      </c>
      <c r="C4" s="192" t="s">
        <v>151</v>
      </c>
    </row>
    <row r="5" spans="1:7" ht="13.5" thickBot="1">
      <c r="A5" s="191">
        <v>10</v>
      </c>
      <c r="B5" s="191" t="s">
        <v>152</v>
      </c>
      <c r="C5" s="192" t="s">
        <v>151</v>
      </c>
    </row>
    <row r="6" spans="1:7" ht="13.5" thickBot="1">
      <c r="A6" s="191">
        <v>15</v>
      </c>
      <c r="B6" s="191" t="s">
        <v>153</v>
      </c>
      <c r="C6" s="192" t="s">
        <v>151</v>
      </c>
    </row>
    <row r="7" spans="1:7" ht="13.5" thickBot="1">
      <c r="A7" s="191">
        <v>25</v>
      </c>
      <c r="B7" s="191" t="s">
        <v>154</v>
      </c>
      <c r="C7" s="192" t="s">
        <v>152</v>
      </c>
    </row>
    <row r="8" spans="1:7" ht="13.5" thickBot="1">
      <c r="A8" s="191">
        <v>37.5</v>
      </c>
      <c r="B8" s="191"/>
      <c r="C8" s="192"/>
    </row>
    <row r="9" spans="1:7" ht="13.5" thickBot="1">
      <c r="A9" s="468" t="s">
        <v>155</v>
      </c>
      <c r="B9" s="468"/>
      <c r="C9" s="468"/>
    </row>
    <row r="10" spans="1:7" ht="13.5" thickBot="1">
      <c r="A10" s="188" t="s">
        <v>150</v>
      </c>
      <c r="B10" s="188" t="s">
        <v>156</v>
      </c>
      <c r="C10" s="193" t="s">
        <v>157</v>
      </c>
      <c r="D10" s="194" t="s">
        <v>158</v>
      </c>
      <c r="E10" s="194" t="s">
        <v>323</v>
      </c>
      <c r="F10" s="170" t="s">
        <v>159</v>
      </c>
      <c r="G10" s="170" t="s">
        <v>322</v>
      </c>
    </row>
    <row r="11" spans="1:7" ht="13.5" thickBot="1">
      <c r="A11" s="191" t="s">
        <v>160</v>
      </c>
      <c r="B11" s="191" t="s">
        <v>151</v>
      </c>
      <c r="C11" s="192" t="s">
        <v>151</v>
      </c>
      <c r="D11" s="194" t="str">
        <f>B12</f>
        <v>1H</v>
      </c>
      <c r="E11" s="194" t="str">
        <f>C12</f>
        <v>0,5H</v>
      </c>
      <c r="F11" s="170" t="s">
        <v>161</v>
      </c>
    </row>
    <row r="12" spans="1:7" ht="13.5" thickBot="1">
      <c r="A12" s="191">
        <v>30</v>
      </c>
      <c r="B12" s="191" t="s">
        <v>152</v>
      </c>
      <c r="C12" s="192" t="s">
        <v>151</v>
      </c>
      <c r="D12" s="194" t="str">
        <f t="shared" ref="D12:E13" si="0">B13</f>
        <v>2H</v>
      </c>
      <c r="E12" s="194" t="str">
        <f t="shared" si="0"/>
        <v>0,5H</v>
      </c>
      <c r="F12" s="170" t="s">
        <v>162</v>
      </c>
    </row>
    <row r="13" spans="1:7" ht="14.25" thickTop="1" thickBot="1">
      <c r="A13" s="191">
        <v>45</v>
      </c>
      <c r="B13" s="191" t="s">
        <v>153</v>
      </c>
      <c r="C13" s="192" t="s">
        <v>151</v>
      </c>
      <c r="D13" s="194" t="str">
        <f t="shared" si="0"/>
        <v>3H</v>
      </c>
      <c r="E13" s="194" t="str">
        <f t="shared" si="0"/>
        <v>1H</v>
      </c>
      <c r="F13" s="333" t="s">
        <v>153</v>
      </c>
    </row>
    <row r="14" spans="1:7" ht="13.5" thickBot="1">
      <c r="A14" s="191">
        <v>75</v>
      </c>
      <c r="B14" s="191" t="s">
        <v>154</v>
      </c>
      <c r="C14" s="192" t="s">
        <v>152</v>
      </c>
      <c r="D14" s="194" t="s">
        <v>163</v>
      </c>
      <c r="E14" s="194" t="s">
        <v>153</v>
      </c>
      <c r="F14" s="334" t="s">
        <v>153</v>
      </c>
      <c r="G14" s="336" t="s">
        <v>154</v>
      </c>
    </row>
    <row r="15" spans="1:7" ht="13.5" thickBot="1">
      <c r="A15" s="191">
        <v>112.5</v>
      </c>
      <c r="B15" s="191" t="s">
        <v>163</v>
      </c>
      <c r="C15" s="192" t="s">
        <v>153</v>
      </c>
      <c r="D15" s="194" t="s">
        <v>164</v>
      </c>
      <c r="E15" s="194" t="s">
        <v>154</v>
      </c>
      <c r="F15" s="334" t="s">
        <v>154</v>
      </c>
      <c r="G15" s="336" t="s">
        <v>163</v>
      </c>
    </row>
    <row r="16" spans="1:7" ht="13.5" thickBot="1">
      <c r="A16" s="191">
        <v>150</v>
      </c>
      <c r="B16" s="191" t="s">
        <v>318</v>
      </c>
      <c r="C16" s="192" t="s">
        <v>154</v>
      </c>
      <c r="D16" s="194" t="s">
        <v>168</v>
      </c>
      <c r="E16" s="194" t="s">
        <v>163</v>
      </c>
      <c r="F16" s="334" t="s">
        <v>163</v>
      </c>
      <c r="G16" s="336" t="s">
        <v>164</v>
      </c>
    </row>
    <row r="17" spans="1:7" ht="13.5" thickBot="1">
      <c r="A17" s="191">
        <v>225</v>
      </c>
      <c r="B17" s="191" t="s">
        <v>164</v>
      </c>
      <c r="C17" s="192" t="s">
        <v>163</v>
      </c>
      <c r="D17" s="194" t="s">
        <v>166</v>
      </c>
      <c r="E17" s="194" t="s">
        <v>164</v>
      </c>
      <c r="F17" s="334" t="s">
        <v>165</v>
      </c>
      <c r="G17" s="336" t="s">
        <v>164</v>
      </c>
    </row>
    <row r="18" spans="1:7" ht="13.5" thickBot="1">
      <c r="A18" s="191">
        <v>300</v>
      </c>
      <c r="B18" s="191" t="s">
        <v>168</v>
      </c>
      <c r="C18" s="192" t="s">
        <v>163</v>
      </c>
      <c r="D18" s="194" t="s">
        <v>167</v>
      </c>
      <c r="E18" s="194" t="s">
        <v>164</v>
      </c>
      <c r="F18" s="334" t="s">
        <v>318</v>
      </c>
      <c r="G18" s="336" t="s">
        <v>168</v>
      </c>
    </row>
    <row r="19" spans="1:7" ht="13.5" thickBot="1">
      <c r="A19" s="191">
        <v>500</v>
      </c>
      <c r="B19" s="191" t="s">
        <v>167</v>
      </c>
      <c r="C19" s="192" t="s">
        <v>168</v>
      </c>
      <c r="D19" s="194" t="s">
        <v>169</v>
      </c>
      <c r="E19" s="194" t="s">
        <v>167</v>
      </c>
      <c r="F19" s="334" t="s">
        <v>166</v>
      </c>
      <c r="G19" s="336" t="s">
        <v>167</v>
      </c>
    </row>
    <row r="20" spans="1:7" ht="13.5" thickBot="1">
      <c r="A20" s="191">
        <v>750</v>
      </c>
      <c r="B20" s="191" t="s">
        <v>169</v>
      </c>
      <c r="C20" s="192" t="s">
        <v>166</v>
      </c>
      <c r="D20" s="194" t="s">
        <v>171</v>
      </c>
      <c r="E20" s="194" t="s">
        <v>167</v>
      </c>
      <c r="F20" s="334" t="s">
        <v>167</v>
      </c>
      <c r="G20" s="336" t="s">
        <v>169</v>
      </c>
    </row>
    <row r="21" spans="1:7" ht="13.5" thickBot="1">
      <c r="A21" s="195">
        <v>1000</v>
      </c>
      <c r="B21" s="191" t="s">
        <v>169</v>
      </c>
      <c r="C21" s="192" t="s">
        <v>167</v>
      </c>
      <c r="D21" s="194" t="s">
        <v>171</v>
      </c>
      <c r="E21" s="194" t="s">
        <v>169</v>
      </c>
      <c r="F21" s="334" t="s">
        <v>170</v>
      </c>
      <c r="G21" s="336" t="s">
        <v>171</v>
      </c>
    </row>
    <row r="22" spans="1:7" ht="13.5" thickBot="1">
      <c r="A22" s="195">
        <v>1500</v>
      </c>
      <c r="B22" s="191" t="s">
        <v>171</v>
      </c>
      <c r="C22" s="192" t="s">
        <v>170</v>
      </c>
      <c r="D22" s="194" t="s">
        <v>172</v>
      </c>
      <c r="E22" s="194" t="s">
        <v>171</v>
      </c>
      <c r="F22" s="334" t="s">
        <v>169</v>
      </c>
      <c r="G22" s="336" t="s">
        <v>171</v>
      </c>
    </row>
    <row r="23" spans="1:7" ht="13.5" thickBot="1">
      <c r="A23" s="195">
        <v>2000</v>
      </c>
      <c r="B23" s="191" t="s">
        <v>172</v>
      </c>
      <c r="C23" s="192" t="s">
        <v>173</v>
      </c>
      <c r="D23" s="194" t="s">
        <v>324</v>
      </c>
      <c r="E23" s="194" t="s">
        <v>172</v>
      </c>
      <c r="F23" s="334" t="s">
        <v>173</v>
      </c>
      <c r="G23" s="336" t="s">
        <v>172</v>
      </c>
    </row>
    <row r="24" spans="1:7" ht="13.5" thickBot="1">
      <c r="A24" s="196">
        <v>2500</v>
      </c>
      <c r="B24" s="197" t="s">
        <v>172</v>
      </c>
      <c r="C24" s="198" t="s">
        <v>171</v>
      </c>
      <c r="D24" s="194" t="s">
        <v>324</v>
      </c>
      <c r="E24" s="194" t="s">
        <v>172</v>
      </c>
      <c r="F24" s="334" t="s">
        <v>171</v>
      </c>
      <c r="G24" s="336" t="s">
        <v>172</v>
      </c>
    </row>
    <row r="25" spans="1:7" ht="13.5" thickTop="1"/>
  </sheetData>
  <mergeCells count="3">
    <mergeCell ref="A1:C1"/>
    <mergeCell ref="A2:C2"/>
    <mergeCell ref="A9:C9"/>
  </mergeCells>
  <pageMargins left="0.511811024" right="0.511811024" top="0.78740157499999996" bottom="0.78740157499999996" header="0.31496062000000002" footer="0.31496062000000002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7169" r:id="rId4">
          <objectPr defaultSize="0" autoPict="0" r:id="rId5">
            <anchor moveWithCells="1" sizeWithCells="1">
              <from>
                <xdr:col>1</xdr:col>
                <xdr:colOff>485775</xdr:colOff>
                <xdr:row>2</xdr:row>
                <xdr:rowOff>28575</xdr:rowOff>
              </from>
              <to>
                <xdr:col>1</xdr:col>
                <xdr:colOff>1266825</xdr:colOff>
                <xdr:row>2</xdr:row>
                <xdr:rowOff>428625</xdr:rowOff>
              </to>
            </anchor>
          </objectPr>
        </oleObject>
      </mc:Choice>
      <mc:Fallback>
        <oleObject progId="Equation.3" shapeId="7169" r:id="rId4"/>
      </mc:Fallback>
    </mc:AlternateContent>
    <mc:AlternateContent xmlns:mc="http://schemas.openxmlformats.org/markup-compatibility/2006">
      <mc:Choice Requires="x14">
        <oleObject progId="Equation.3" shapeId="7170" r:id="rId6">
          <objectPr defaultSize="0" autoPict="0" r:id="rId7">
            <anchor moveWithCells="1" sizeWithCells="1">
              <from>
                <xdr:col>2</xdr:col>
                <xdr:colOff>342900</xdr:colOff>
                <xdr:row>2</xdr:row>
                <xdr:rowOff>0</xdr:rowOff>
              </from>
              <to>
                <xdr:col>2</xdr:col>
                <xdr:colOff>1028700</xdr:colOff>
                <xdr:row>2</xdr:row>
                <xdr:rowOff>428625</xdr:rowOff>
              </to>
            </anchor>
          </objectPr>
        </oleObject>
      </mc:Choice>
      <mc:Fallback>
        <oleObject progId="Equation.3" shapeId="7170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Plan8"/>
  <dimension ref="A1:AC23"/>
  <sheetViews>
    <sheetView zoomScale="85" zoomScaleNormal="85" workbookViewId="0">
      <selection activeCell="K19" sqref="K19"/>
    </sheetView>
  </sheetViews>
  <sheetFormatPr defaultColWidth="9.140625" defaultRowHeight="12.75"/>
  <cols>
    <col min="1" max="6" width="9.140625" style="170"/>
    <col min="7" max="7" width="18" style="170" customWidth="1"/>
    <col min="8" max="12" width="9.140625" style="170"/>
    <col min="13" max="13" width="14.42578125" style="170" customWidth="1"/>
    <col min="14" max="16384" width="9.140625" style="170"/>
  </cols>
  <sheetData>
    <row r="1" spans="1:29" ht="16.5" thickBot="1">
      <c r="A1" s="469" t="s">
        <v>174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P1" s="469" t="s">
        <v>175</v>
      </c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  <c r="AB1" s="469"/>
    </row>
    <row r="2" spans="1:29" ht="14.25" thickTop="1" thickBot="1">
      <c r="A2" s="467" t="s">
        <v>149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P2" s="470" t="s">
        <v>149</v>
      </c>
      <c r="Q2" s="470"/>
      <c r="R2" s="470"/>
      <c r="S2" s="470"/>
      <c r="T2" s="470"/>
      <c r="U2" s="470"/>
      <c r="V2" s="470"/>
      <c r="W2" s="470"/>
      <c r="X2" s="470"/>
      <c r="Y2" s="470"/>
      <c r="Z2" s="470"/>
      <c r="AA2" s="470"/>
      <c r="AB2" s="470"/>
      <c r="AC2" s="199"/>
    </row>
    <row r="3" spans="1:29" ht="43.5" customHeight="1" thickBot="1">
      <c r="A3" s="471" t="s">
        <v>150</v>
      </c>
      <c r="B3" s="474" t="s">
        <v>176</v>
      </c>
      <c r="C3" s="471"/>
      <c r="D3" s="474" t="s">
        <v>54</v>
      </c>
      <c r="E3" s="478"/>
      <c r="F3" s="481" t="s">
        <v>177</v>
      </c>
      <c r="G3" s="482"/>
      <c r="H3" s="481" t="s">
        <v>178</v>
      </c>
      <c r="I3" s="482"/>
      <c r="J3" s="483" t="s">
        <v>59</v>
      </c>
      <c r="K3" s="468"/>
      <c r="L3" s="468"/>
      <c r="M3" s="468"/>
      <c r="P3" s="499" t="s">
        <v>150</v>
      </c>
      <c r="Q3" s="498" t="s">
        <v>176</v>
      </c>
      <c r="R3" s="499"/>
      <c r="S3" s="498" t="s">
        <v>54</v>
      </c>
      <c r="T3" s="499"/>
      <c r="U3" s="498" t="s">
        <v>179</v>
      </c>
      <c r="V3" s="499"/>
      <c r="W3" s="498" t="s">
        <v>180</v>
      </c>
      <c r="X3" s="499"/>
      <c r="Y3" s="490" t="s">
        <v>181</v>
      </c>
      <c r="Z3" s="491"/>
      <c r="AA3" s="491"/>
      <c r="AB3" s="491"/>
      <c r="AC3" s="199"/>
    </row>
    <row r="4" spans="1:29" ht="13.5" thickBot="1">
      <c r="A4" s="472"/>
      <c r="B4" s="475"/>
      <c r="C4" s="472"/>
      <c r="D4" s="475"/>
      <c r="E4" s="479"/>
      <c r="F4" s="484" t="s">
        <v>182</v>
      </c>
      <c r="G4" s="485"/>
      <c r="H4" s="484" t="s">
        <v>183</v>
      </c>
      <c r="I4" s="485"/>
      <c r="J4" s="486" t="s">
        <v>184</v>
      </c>
      <c r="K4" s="487"/>
      <c r="L4" s="478"/>
      <c r="M4" s="200" t="s">
        <v>185</v>
      </c>
      <c r="P4" s="489"/>
      <c r="Q4" s="488"/>
      <c r="R4" s="489"/>
      <c r="S4" s="488"/>
      <c r="T4" s="489"/>
      <c r="U4" s="488"/>
      <c r="V4" s="489"/>
      <c r="W4" s="488" t="s">
        <v>183</v>
      </c>
      <c r="X4" s="489"/>
      <c r="Y4" s="490" t="s">
        <v>59</v>
      </c>
      <c r="Z4" s="491"/>
      <c r="AA4" s="491"/>
      <c r="AB4" s="491"/>
      <c r="AC4" s="199"/>
    </row>
    <row r="5" spans="1:29" ht="13.5" thickBot="1">
      <c r="A5" s="473"/>
      <c r="B5" s="476"/>
      <c r="C5" s="477"/>
      <c r="D5" s="476"/>
      <c r="E5" s="480"/>
      <c r="F5" s="492"/>
      <c r="G5" s="493"/>
      <c r="H5" s="492"/>
      <c r="I5" s="493"/>
      <c r="J5" s="494" t="s">
        <v>186</v>
      </c>
      <c r="K5" s="495"/>
      <c r="L5" s="480"/>
      <c r="M5" s="201" t="s">
        <v>187</v>
      </c>
      <c r="P5" s="489"/>
      <c r="Q5" s="488"/>
      <c r="R5" s="489"/>
      <c r="S5" s="488"/>
      <c r="T5" s="489"/>
      <c r="U5" s="488"/>
      <c r="V5" s="489"/>
      <c r="W5" s="496"/>
      <c r="X5" s="497"/>
      <c r="Y5" s="498" t="s">
        <v>60</v>
      </c>
      <c r="Z5" s="499"/>
      <c r="AA5" s="498" t="s">
        <v>188</v>
      </c>
      <c r="AB5" s="502"/>
      <c r="AC5" s="199"/>
    </row>
    <row r="6" spans="1:29" ht="13.5" thickBot="1">
      <c r="A6" s="279">
        <v>3</v>
      </c>
      <c r="B6" s="533">
        <v>220</v>
      </c>
      <c r="C6" s="534"/>
      <c r="D6" s="513">
        <v>15</v>
      </c>
      <c r="E6" s="514"/>
      <c r="F6" s="515" t="s">
        <v>189</v>
      </c>
      <c r="G6" s="516"/>
      <c r="H6" s="515" t="s">
        <v>190</v>
      </c>
      <c r="I6" s="516"/>
      <c r="J6" s="517">
        <v>25</v>
      </c>
      <c r="K6" s="518"/>
      <c r="L6" s="514"/>
      <c r="M6" s="280">
        <v>4</v>
      </c>
      <c r="P6" s="501"/>
      <c r="Q6" s="500"/>
      <c r="R6" s="501"/>
      <c r="S6" s="500"/>
      <c r="T6" s="501"/>
      <c r="U6" s="500"/>
      <c r="V6" s="501"/>
      <c r="W6" s="519"/>
      <c r="X6" s="520"/>
      <c r="Y6" s="500"/>
      <c r="Z6" s="501"/>
      <c r="AA6" s="500"/>
      <c r="AB6" s="503"/>
      <c r="AC6" s="199"/>
    </row>
    <row r="7" spans="1:29" ht="13.5" thickBot="1">
      <c r="A7" s="191">
        <v>5</v>
      </c>
      <c r="B7" s="535"/>
      <c r="C7" s="536"/>
      <c r="D7" s="504">
        <v>23</v>
      </c>
      <c r="E7" s="505"/>
      <c r="F7" s="509" t="s">
        <v>189</v>
      </c>
      <c r="G7" s="510"/>
      <c r="H7" s="509" t="s">
        <v>190</v>
      </c>
      <c r="I7" s="510"/>
      <c r="J7" s="511">
        <v>25</v>
      </c>
      <c r="K7" s="512"/>
      <c r="L7" s="505"/>
      <c r="M7" s="192">
        <v>2</v>
      </c>
      <c r="P7" s="184">
        <v>5</v>
      </c>
      <c r="Q7" s="523">
        <v>127</v>
      </c>
      <c r="R7" s="524"/>
      <c r="S7" s="506">
        <v>39</v>
      </c>
      <c r="T7" s="507"/>
      <c r="U7" s="509" t="s">
        <v>189</v>
      </c>
      <c r="V7" s="510"/>
      <c r="W7" s="506" t="s">
        <v>190</v>
      </c>
      <c r="X7" s="507"/>
      <c r="Y7" s="506">
        <v>25</v>
      </c>
      <c r="Z7" s="507"/>
      <c r="AA7" s="506">
        <v>2</v>
      </c>
      <c r="AB7" s="508"/>
      <c r="AC7" s="199"/>
    </row>
    <row r="8" spans="1:29" ht="13.5" customHeight="1" thickBot="1">
      <c r="A8" s="191">
        <v>10</v>
      </c>
      <c r="B8" s="535"/>
      <c r="C8" s="536"/>
      <c r="D8" s="504">
        <v>45</v>
      </c>
      <c r="E8" s="505"/>
      <c r="F8" s="509" t="s">
        <v>189</v>
      </c>
      <c r="G8" s="510"/>
      <c r="H8" s="509" t="s">
        <v>190</v>
      </c>
      <c r="I8" s="510"/>
      <c r="J8" s="511">
        <v>25</v>
      </c>
      <c r="K8" s="512"/>
      <c r="L8" s="505"/>
      <c r="M8" s="192">
        <v>2</v>
      </c>
      <c r="P8" s="184">
        <v>10</v>
      </c>
      <c r="Q8" s="525"/>
      <c r="R8" s="526"/>
      <c r="S8" s="506">
        <v>79</v>
      </c>
      <c r="T8" s="507"/>
      <c r="U8" s="509" t="s">
        <v>191</v>
      </c>
      <c r="V8" s="510"/>
      <c r="W8" s="506" t="s">
        <v>192</v>
      </c>
      <c r="X8" s="507"/>
      <c r="Y8" s="506">
        <v>25</v>
      </c>
      <c r="Z8" s="507"/>
      <c r="AA8" s="506">
        <v>2</v>
      </c>
      <c r="AB8" s="508"/>
      <c r="AC8" s="199"/>
    </row>
    <row r="9" spans="1:29" ht="13.5" customHeight="1" thickBot="1">
      <c r="A9" s="191">
        <v>15</v>
      </c>
      <c r="B9" s="535"/>
      <c r="C9" s="536"/>
      <c r="D9" s="504">
        <v>68</v>
      </c>
      <c r="E9" s="505"/>
      <c r="F9" s="509" t="s">
        <v>193</v>
      </c>
      <c r="G9" s="510"/>
      <c r="H9" s="509" t="s">
        <v>190</v>
      </c>
      <c r="I9" s="510"/>
      <c r="J9" s="511">
        <v>25</v>
      </c>
      <c r="K9" s="512"/>
      <c r="L9" s="505"/>
      <c r="M9" s="192">
        <v>2</v>
      </c>
      <c r="P9" s="273">
        <v>15</v>
      </c>
      <c r="Q9" s="525"/>
      <c r="R9" s="526"/>
      <c r="S9" s="506">
        <v>118</v>
      </c>
      <c r="T9" s="507"/>
      <c r="U9" s="509" t="s">
        <v>194</v>
      </c>
      <c r="V9" s="510"/>
      <c r="W9" s="506" t="s">
        <v>195</v>
      </c>
      <c r="X9" s="507"/>
      <c r="Y9" s="506">
        <v>25</v>
      </c>
      <c r="Z9" s="507"/>
      <c r="AA9" s="506">
        <v>2</v>
      </c>
      <c r="AB9" s="508"/>
      <c r="AC9" s="199"/>
    </row>
    <row r="10" spans="1:29" ht="15.75" customHeight="1" thickBot="1">
      <c r="A10" s="191">
        <v>25</v>
      </c>
      <c r="B10" s="535"/>
      <c r="C10" s="536"/>
      <c r="D10" s="504">
        <v>114</v>
      </c>
      <c r="E10" s="505"/>
      <c r="F10" s="509" t="s">
        <v>194</v>
      </c>
      <c r="G10" s="510"/>
      <c r="H10" s="509" t="s">
        <v>192</v>
      </c>
      <c r="I10" s="510"/>
      <c r="J10" s="511">
        <v>25</v>
      </c>
      <c r="K10" s="512"/>
      <c r="L10" s="505"/>
      <c r="M10" s="192">
        <v>2</v>
      </c>
      <c r="P10" s="273">
        <v>25</v>
      </c>
      <c r="Q10" s="525"/>
      <c r="R10" s="526"/>
      <c r="S10" s="506">
        <v>197</v>
      </c>
      <c r="T10" s="507"/>
      <c r="U10" s="509" t="s">
        <v>196</v>
      </c>
      <c r="V10" s="510"/>
      <c r="W10" s="506" t="s">
        <v>197</v>
      </c>
      <c r="X10" s="507"/>
      <c r="Y10" s="506">
        <v>25</v>
      </c>
      <c r="Z10" s="507"/>
      <c r="AA10" s="506">
        <v>2</v>
      </c>
      <c r="AB10" s="508"/>
      <c r="AC10" s="199"/>
    </row>
    <row r="11" spans="1:29" ht="14.25" thickTop="1" thickBot="1">
      <c r="A11" s="468" t="s">
        <v>155</v>
      </c>
      <c r="B11" s="468"/>
      <c r="C11" s="468"/>
      <c r="D11" s="468"/>
      <c r="E11" s="468"/>
      <c r="F11" s="468"/>
      <c r="G11" s="468"/>
      <c r="H11" s="468"/>
      <c r="I11" s="468"/>
      <c r="J11" s="468"/>
      <c r="K11" s="468"/>
      <c r="L11" s="468"/>
      <c r="M11" s="468"/>
      <c r="P11" s="470" t="s">
        <v>155</v>
      </c>
      <c r="Q11" s="470"/>
      <c r="R11" s="470"/>
      <c r="S11" s="470"/>
      <c r="T11" s="470"/>
      <c r="U11" s="470"/>
      <c r="V11" s="470"/>
      <c r="W11" s="470"/>
      <c r="X11" s="470"/>
      <c r="Y11" s="470"/>
      <c r="Z11" s="470"/>
      <c r="AA11" s="470"/>
      <c r="AB11" s="470"/>
      <c r="AC11" s="199"/>
    </row>
    <row r="12" spans="1:29" ht="48.75" customHeight="1" thickBot="1">
      <c r="A12" s="202" t="s">
        <v>198</v>
      </c>
      <c r="B12" s="202" t="s">
        <v>199</v>
      </c>
      <c r="C12" s="474" t="s">
        <v>54</v>
      </c>
      <c r="D12" s="478"/>
      <c r="E12" s="486" t="s">
        <v>200</v>
      </c>
      <c r="F12" s="478"/>
      <c r="G12" s="481" t="s">
        <v>201</v>
      </c>
      <c r="H12" s="482"/>
      <c r="I12" s="481" t="s">
        <v>178</v>
      </c>
      <c r="J12" s="482"/>
      <c r="K12" s="486" t="s">
        <v>59</v>
      </c>
      <c r="L12" s="487"/>
      <c r="M12" s="487"/>
      <c r="P12" s="499" t="s">
        <v>150</v>
      </c>
      <c r="Q12" s="528" t="s">
        <v>176</v>
      </c>
      <c r="R12" s="498" t="s">
        <v>54</v>
      </c>
      <c r="S12" s="499"/>
      <c r="T12" s="498" t="s">
        <v>200</v>
      </c>
      <c r="U12" s="499"/>
      <c r="V12" s="498" t="s">
        <v>179</v>
      </c>
      <c r="W12" s="499"/>
      <c r="X12" s="498" t="s">
        <v>202</v>
      </c>
      <c r="Y12" s="499"/>
      <c r="Z12" s="490" t="s">
        <v>59</v>
      </c>
      <c r="AA12" s="491"/>
      <c r="AB12" s="541"/>
      <c r="AC12" s="199"/>
    </row>
    <row r="13" spans="1:29" ht="24" customHeight="1" thickBot="1">
      <c r="A13" s="202" t="s">
        <v>203</v>
      </c>
      <c r="B13" s="202" t="s">
        <v>204</v>
      </c>
      <c r="C13" s="475"/>
      <c r="D13" s="479"/>
      <c r="E13" s="527"/>
      <c r="F13" s="479"/>
      <c r="G13" s="484" t="s">
        <v>205</v>
      </c>
      <c r="H13" s="485"/>
      <c r="I13" s="484" t="s">
        <v>183</v>
      </c>
      <c r="J13" s="485"/>
      <c r="K13" s="494"/>
      <c r="L13" s="495"/>
      <c r="M13" s="495"/>
      <c r="P13" s="489"/>
      <c r="Q13" s="529"/>
      <c r="R13" s="488"/>
      <c r="S13" s="489"/>
      <c r="T13" s="488"/>
      <c r="U13" s="489"/>
      <c r="V13" s="488"/>
      <c r="W13" s="489"/>
      <c r="X13" s="488" t="s">
        <v>183</v>
      </c>
      <c r="Y13" s="489"/>
      <c r="Z13" s="498" t="s">
        <v>60</v>
      </c>
      <c r="AA13" s="499"/>
      <c r="AB13" s="528" t="s">
        <v>188</v>
      </c>
      <c r="AC13" s="199"/>
    </row>
    <row r="14" spans="1:29" ht="14.25" customHeight="1" thickBot="1">
      <c r="A14" s="203"/>
      <c r="B14" s="203"/>
      <c r="C14" s="475"/>
      <c r="D14" s="479"/>
      <c r="E14" s="527"/>
      <c r="F14" s="479"/>
      <c r="G14" s="484" t="s">
        <v>182</v>
      </c>
      <c r="H14" s="485"/>
      <c r="I14" s="531"/>
      <c r="J14" s="532"/>
      <c r="K14" s="204" t="s">
        <v>184</v>
      </c>
      <c r="L14" s="486" t="s">
        <v>185</v>
      </c>
      <c r="M14" s="487"/>
      <c r="P14" s="501"/>
      <c r="Q14" s="530"/>
      <c r="R14" s="500"/>
      <c r="S14" s="501"/>
      <c r="T14" s="500"/>
      <c r="U14" s="501"/>
      <c r="V14" s="500"/>
      <c r="W14" s="501"/>
      <c r="X14" s="519"/>
      <c r="Y14" s="520"/>
      <c r="Z14" s="500"/>
      <c r="AA14" s="501"/>
      <c r="AB14" s="530"/>
      <c r="AC14" s="199"/>
    </row>
    <row r="15" spans="1:29" ht="15" thickBot="1">
      <c r="A15" s="205"/>
      <c r="B15" s="205"/>
      <c r="C15" s="476"/>
      <c r="D15" s="480"/>
      <c r="E15" s="494"/>
      <c r="F15" s="480"/>
      <c r="G15" s="492"/>
      <c r="H15" s="493"/>
      <c r="I15" s="492"/>
      <c r="J15" s="493"/>
      <c r="K15" s="206" t="s">
        <v>186</v>
      </c>
      <c r="L15" s="494" t="s">
        <v>187</v>
      </c>
      <c r="M15" s="495"/>
      <c r="P15" s="279">
        <v>30</v>
      </c>
      <c r="Q15" s="543">
        <v>220</v>
      </c>
      <c r="R15" s="537">
        <v>87</v>
      </c>
      <c r="S15" s="538"/>
      <c r="T15" s="537">
        <v>100</v>
      </c>
      <c r="U15" s="538"/>
      <c r="V15" s="537" t="s">
        <v>206</v>
      </c>
      <c r="W15" s="538"/>
      <c r="X15" s="537" t="s">
        <v>207</v>
      </c>
      <c r="Y15" s="538"/>
      <c r="Z15" s="537">
        <v>25</v>
      </c>
      <c r="AA15" s="538"/>
      <c r="AB15" s="284">
        <v>2</v>
      </c>
      <c r="AC15" s="199"/>
    </row>
    <row r="16" spans="1:29" ht="13.5" thickBot="1">
      <c r="A16" s="279">
        <v>30</v>
      </c>
      <c r="B16" s="546">
        <v>380</v>
      </c>
      <c r="C16" s="537">
        <v>50</v>
      </c>
      <c r="D16" s="516"/>
      <c r="E16" s="515">
        <v>50</v>
      </c>
      <c r="F16" s="516"/>
      <c r="G16" s="515" t="s">
        <v>208</v>
      </c>
      <c r="H16" s="516"/>
      <c r="I16" s="515" t="s">
        <v>207</v>
      </c>
      <c r="J16" s="516"/>
      <c r="K16" s="281">
        <v>25</v>
      </c>
      <c r="L16" s="282"/>
      <c r="M16" s="283">
        <v>2</v>
      </c>
      <c r="P16" s="287">
        <v>45</v>
      </c>
      <c r="Q16" s="544"/>
      <c r="R16" s="537">
        <v>118</v>
      </c>
      <c r="S16" s="538"/>
      <c r="T16" s="537">
        <v>125</v>
      </c>
      <c r="U16" s="538"/>
      <c r="V16" s="537" t="s">
        <v>209</v>
      </c>
      <c r="W16" s="538"/>
      <c r="X16" s="537" t="s">
        <v>207</v>
      </c>
      <c r="Y16" s="538"/>
      <c r="Z16" s="537">
        <v>25</v>
      </c>
      <c r="AA16" s="538"/>
      <c r="AB16" s="284">
        <v>2</v>
      </c>
      <c r="AC16" s="199"/>
    </row>
    <row r="17" spans="1:29" ht="15.75" customHeight="1" thickBot="1">
      <c r="A17" s="279">
        <v>45</v>
      </c>
      <c r="B17" s="547"/>
      <c r="C17" s="537">
        <v>68</v>
      </c>
      <c r="D17" s="516"/>
      <c r="E17" s="515">
        <v>75</v>
      </c>
      <c r="F17" s="516"/>
      <c r="G17" s="515" t="s">
        <v>206</v>
      </c>
      <c r="H17" s="516"/>
      <c r="I17" s="515" t="s">
        <v>210</v>
      </c>
      <c r="J17" s="516"/>
      <c r="K17" s="281">
        <v>25</v>
      </c>
      <c r="L17" s="282"/>
      <c r="M17" s="283">
        <v>2</v>
      </c>
      <c r="P17" s="184">
        <v>75</v>
      </c>
      <c r="Q17" s="544"/>
      <c r="R17" s="506">
        <v>197</v>
      </c>
      <c r="S17" s="507"/>
      <c r="T17" s="506">
        <v>200</v>
      </c>
      <c r="U17" s="507"/>
      <c r="V17" s="509" t="s">
        <v>211</v>
      </c>
      <c r="W17" s="510"/>
      <c r="X17" s="506" t="s">
        <v>212</v>
      </c>
      <c r="Y17" s="507"/>
      <c r="Z17" s="506">
        <v>25</v>
      </c>
      <c r="AA17" s="507"/>
      <c r="AB17" s="185">
        <v>2</v>
      </c>
      <c r="AC17" s="199"/>
    </row>
    <row r="18" spans="1:29" ht="15.75" customHeight="1" thickBot="1">
      <c r="A18" s="191">
        <v>75</v>
      </c>
      <c r="B18" s="547"/>
      <c r="C18" s="542">
        <v>114</v>
      </c>
      <c r="D18" s="522"/>
      <c r="E18" s="521">
        <v>125</v>
      </c>
      <c r="F18" s="522"/>
      <c r="G18" s="521" t="s">
        <v>209</v>
      </c>
      <c r="H18" s="522"/>
      <c r="I18" s="521" t="s">
        <v>207</v>
      </c>
      <c r="J18" s="522"/>
      <c r="K18" s="207">
        <v>25</v>
      </c>
      <c r="L18" s="275"/>
      <c r="M18" s="277">
        <v>2</v>
      </c>
      <c r="P18" s="184">
        <v>112.5</v>
      </c>
      <c r="Q18" s="544"/>
      <c r="R18" s="506">
        <v>295</v>
      </c>
      <c r="S18" s="507"/>
      <c r="T18" s="506">
        <v>300</v>
      </c>
      <c r="U18" s="507"/>
      <c r="V18" s="506" t="s">
        <v>217</v>
      </c>
      <c r="W18" s="507"/>
      <c r="X18" s="506" t="s">
        <v>213</v>
      </c>
      <c r="Y18" s="507"/>
      <c r="Z18" s="506">
        <v>25</v>
      </c>
      <c r="AA18" s="507"/>
      <c r="AB18" s="185">
        <v>2</v>
      </c>
      <c r="AC18" s="199"/>
    </row>
    <row r="19" spans="1:29" ht="27.75" customHeight="1" thickBot="1">
      <c r="A19" s="191">
        <v>112.5</v>
      </c>
      <c r="B19" s="547"/>
      <c r="C19" s="542">
        <v>171</v>
      </c>
      <c r="D19" s="522"/>
      <c r="E19" s="521">
        <v>175</v>
      </c>
      <c r="F19" s="522"/>
      <c r="G19" s="521" t="s">
        <v>211</v>
      </c>
      <c r="H19" s="522"/>
      <c r="I19" s="521" t="s">
        <v>214</v>
      </c>
      <c r="J19" s="522"/>
      <c r="K19" s="207">
        <v>25</v>
      </c>
      <c r="L19" s="275"/>
      <c r="M19" s="277">
        <v>2</v>
      </c>
      <c r="P19" s="184">
        <v>150</v>
      </c>
      <c r="Q19" s="544"/>
      <c r="R19" s="506">
        <v>394</v>
      </c>
      <c r="S19" s="507"/>
      <c r="T19" s="506">
        <v>400</v>
      </c>
      <c r="U19" s="507"/>
      <c r="V19" s="506" t="s">
        <v>313</v>
      </c>
      <c r="W19" s="507"/>
      <c r="X19" s="506" t="s">
        <v>314</v>
      </c>
      <c r="Y19" s="507"/>
      <c r="Z19" s="506">
        <v>50</v>
      </c>
      <c r="AA19" s="507"/>
      <c r="AB19" s="185" t="s">
        <v>215</v>
      </c>
      <c r="AC19" s="199"/>
    </row>
    <row r="20" spans="1:29" ht="31.5" customHeight="1" thickBot="1">
      <c r="A20" s="191">
        <v>150</v>
      </c>
      <c r="B20" s="547"/>
      <c r="C20" s="542">
        <v>228</v>
      </c>
      <c r="D20" s="522"/>
      <c r="E20" s="521">
        <v>250</v>
      </c>
      <c r="F20" s="522"/>
      <c r="G20" s="521" t="s">
        <v>216</v>
      </c>
      <c r="H20" s="522"/>
      <c r="I20" s="521" t="s">
        <v>214</v>
      </c>
      <c r="J20" s="522"/>
      <c r="K20" s="207">
        <v>50</v>
      </c>
      <c r="L20" s="275"/>
      <c r="M20" s="277" t="s">
        <v>215</v>
      </c>
      <c r="P20" s="184">
        <v>225</v>
      </c>
      <c r="Q20" s="544"/>
      <c r="R20" s="506">
        <v>590</v>
      </c>
      <c r="S20" s="507"/>
      <c r="T20" s="506">
        <v>600</v>
      </c>
      <c r="U20" s="507"/>
      <c r="V20" s="506" t="s">
        <v>315</v>
      </c>
      <c r="W20" s="507"/>
      <c r="X20" s="506" t="s">
        <v>316</v>
      </c>
      <c r="Y20" s="507"/>
      <c r="Z20" s="506">
        <v>50</v>
      </c>
      <c r="AA20" s="507"/>
      <c r="AB20" s="185" t="s">
        <v>215</v>
      </c>
      <c r="AC20" s="199"/>
    </row>
    <row r="21" spans="1:29" ht="45.75" customHeight="1" thickBot="1">
      <c r="A21" s="191">
        <v>225</v>
      </c>
      <c r="B21" s="547"/>
      <c r="C21" s="542">
        <v>342</v>
      </c>
      <c r="D21" s="522"/>
      <c r="E21" s="521">
        <v>350</v>
      </c>
      <c r="F21" s="522"/>
      <c r="G21" s="521" t="s">
        <v>217</v>
      </c>
      <c r="H21" s="522"/>
      <c r="I21" s="521" t="s">
        <v>218</v>
      </c>
      <c r="J21" s="522"/>
      <c r="K21" s="207">
        <v>50</v>
      </c>
      <c r="L21" s="275"/>
      <c r="M21" s="277" t="s">
        <v>215</v>
      </c>
      <c r="P21" s="186">
        <v>300</v>
      </c>
      <c r="Q21" s="545"/>
      <c r="R21" s="539">
        <v>787</v>
      </c>
      <c r="S21" s="540"/>
      <c r="T21" s="539">
        <v>800</v>
      </c>
      <c r="U21" s="540"/>
      <c r="V21" s="539" t="s">
        <v>309</v>
      </c>
      <c r="W21" s="540"/>
      <c r="X21" s="506" t="s">
        <v>310</v>
      </c>
      <c r="Y21" s="507"/>
      <c r="Z21" s="539">
        <v>50</v>
      </c>
      <c r="AA21" s="540"/>
      <c r="AB21" s="187" t="s">
        <v>215</v>
      </c>
      <c r="AC21" s="199"/>
    </row>
    <row r="22" spans="1:29" ht="34.5" customHeight="1" thickTop="1" thickBot="1">
      <c r="A22" s="197">
        <v>300</v>
      </c>
      <c r="B22" s="548"/>
      <c r="C22" s="551">
        <v>456</v>
      </c>
      <c r="D22" s="550"/>
      <c r="E22" s="549">
        <v>500</v>
      </c>
      <c r="F22" s="550"/>
      <c r="G22" s="521" t="s">
        <v>311</v>
      </c>
      <c r="H22" s="522"/>
      <c r="I22" s="549" t="s">
        <v>312</v>
      </c>
      <c r="J22" s="550"/>
      <c r="K22" s="208">
        <v>50</v>
      </c>
      <c r="L22" s="276"/>
      <c r="M22" s="278" t="s">
        <v>215</v>
      </c>
    </row>
    <row r="23" spans="1:29" ht="13.5" thickTop="1"/>
  </sheetData>
  <mergeCells count="161">
    <mergeCell ref="Z21:AA21"/>
    <mergeCell ref="Z19:AA19"/>
    <mergeCell ref="V20:W20"/>
    <mergeCell ref="X20:Y20"/>
    <mergeCell ref="Z20:AA20"/>
    <mergeCell ref="T20:U20"/>
    <mergeCell ref="T19:U19"/>
    <mergeCell ref="V19:W19"/>
    <mergeCell ref="B16:B22"/>
    <mergeCell ref="C21:D21"/>
    <mergeCell ref="E21:F21"/>
    <mergeCell ref="G21:H21"/>
    <mergeCell ref="I21:J21"/>
    <mergeCell ref="G22:H22"/>
    <mergeCell ref="I22:J22"/>
    <mergeCell ref="R21:S21"/>
    <mergeCell ref="C20:D20"/>
    <mergeCell ref="E20:F20"/>
    <mergeCell ref="G20:H20"/>
    <mergeCell ref="I20:J20"/>
    <mergeCell ref="R20:S20"/>
    <mergeCell ref="C22:D22"/>
    <mergeCell ref="E22:F22"/>
    <mergeCell ref="C16:D16"/>
    <mergeCell ref="R12:S14"/>
    <mergeCell ref="T12:U14"/>
    <mergeCell ref="V18:W18"/>
    <mergeCell ref="C19:D19"/>
    <mergeCell ref="E19:F19"/>
    <mergeCell ref="G19:H19"/>
    <mergeCell ref="I19:J19"/>
    <mergeCell ref="T18:U18"/>
    <mergeCell ref="R19:S19"/>
    <mergeCell ref="C18:D18"/>
    <mergeCell ref="E18:F18"/>
    <mergeCell ref="G18:H18"/>
    <mergeCell ref="E16:F16"/>
    <mergeCell ref="G16:H16"/>
    <mergeCell ref="I16:J16"/>
    <mergeCell ref="R18:S18"/>
    <mergeCell ref="C17:D17"/>
    <mergeCell ref="E17:F17"/>
    <mergeCell ref="G15:H15"/>
    <mergeCell ref="I15:J15"/>
    <mergeCell ref="L15:M15"/>
    <mergeCell ref="Q15:Q21"/>
    <mergeCell ref="G17:H17"/>
    <mergeCell ref="I17:J17"/>
    <mergeCell ref="Z17:AA17"/>
    <mergeCell ref="V12:W14"/>
    <mergeCell ref="X12:Y12"/>
    <mergeCell ref="V15:W15"/>
    <mergeCell ref="X15:Y15"/>
    <mergeCell ref="Z15:AA15"/>
    <mergeCell ref="Z12:AB12"/>
    <mergeCell ref="X14:Y14"/>
    <mergeCell ref="X13:Y13"/>
    <mergeCell ref="Z13:AA14"/>
    <mergeCell ref="AB13:AB14"/>
    <mergeCell ref="V16:W16"/>
    <mergeCell ref="X16:Y16"/>
    <mergeCell ref="Z16:AA16"/>
    <mergeCell ref="V17:W17"/>
    <mergeCell ref="X19:Y19"/>
    <mergeCell ref="R17:S17"/>
    <mergeCell ref="T17:U17"/>
    <mergeCell ref="X17:Y17"/>
    <mergeCell ref="R16:S16"/>
    <mergeCell ref="T16:U16"/>
    <mergeCell ref="T15:U15"/>
    <mergeCell ref="T21:U21"/>
    <mergeCell ref="V21:W21"/>
    <mergeCell ref="X21:Y21"/>
    <mergeCell ref="R15:S15"/>
    <mergeCell ref="I18:J18"/>
    <mergeCell ref="X18:Y18"/>
    <mergeCell ref="Z18:AA18"/>
    <mergeCell ref="Q7:R10"/>
    <mergeCell ref="L14:M14"/>
    <mergeCell ref="G13:H13"/>
    <mergeCell ref="I13:J13"/>
    <mergeCell ref="F10:G10"/>
    <mergeCell ref="A11:M11"/>
    <mergeCell ref="P11:AB11"/>
    <mergeCell ref="C12:D15"/>
    <mergeCell ref="E12:F15"/>
    <mergeCell ref="F9:G9"/>
    <mergeCell ref="H9:I9"/>
    <mergeCell ref="G12:H12"/>
    <mergeCell ref="I12:J12"/>
    <mergeCell ref="K12:M13"/>
    <mergeCell ref="P12:P14"/>
    <mergeCell ref="Q12:Q14"/>
    <mergeCell ref="G14:H14"/>
    <mergeCell ref="I14:J14"/>
    <mergeCell ref="B6:C10"/>
    <mergeCell ref="AA8:AB8"/>
    <mergeCell ref="F8:G8"/>
    <mergeCell ref="U8:V8"/>
    <mergeCell ref="Y7:Z7"/>
    <mergeCell ref="W9:X9"/>
    <mergeCell ref="Y9:Z9"/>
    <mergeCell ref="D9:E9"/>
    <mergeCell ref="D6:E6"/>
    <mergeCell ref="F6:G6"/>
    <mergeCell ref="H6:I6"/>
    <mergeCell ref="J6:L6"/>
    <mergeCell ref="W6:X6"/>
    <mergeCell ref="D7:E7"/>
    <mergeCell ref="F7:G7"/>
    <mergeCell ref="H7:I7"/>
    <mergeCell ref="J7:L7"/>
    <mergeCell ref="D8:E8"/>
    <mergeCell ref="Y3:AB3"/>
    <mergeCell ref="AA5:AB6"/>
    <mergeCell ref="P3:P6"/>
    <mergeCell ref="D10:E10"/>
    <mergeCell ref="W7:X7"/>
    <mergeCell ref="W8:X8"/>
    <mergeCell ref="W10:X10"/>
    <mergeCell ref="Y10:Z10"/>
    <mergeCell ref="AA9:AB9"/>
    <mergeCell ref="S7:T7"/>
    <mergeCell ref="U7:V7"/>
    <mergeCell ref="AA10:AB10"/>
    <mergeCell ref="J9:L9"/>
    <mergeCell ref="S9:T9"/>
    <mergeCell ref="U9:V9"/>
    <mergeCell ref="H10:I10"/>
    <mergeCell ref="J10:L10"/>
    <mergeCell ref="S10:T10"/>
    <mergeCell ref="U10:V10"/>
    <mergeCell ref="AA7:AB7"/>
    <mergeCell ref="Y8:Z8"/>
    <mergeCell ref="H8:I8"/>
    <mergeCell ref="J8:L8"/>
    <mergeCell ref="S8:T8"/>
    <mergeCell ref="A1:M1"/>
    <mergeCell ref="P1:AB1"/>
    <mergeCell ref="A2:M2"/>
    <mergeCell ref="P2:AB2"/>
    <mergeCell ref="A3:A5"/>
    <mergeCell ref="B3:C5"/>
    <mergeCell ref="D3:E5"/>
    <mergeCell ref="F3:G3"/>
    <mergeCell ref="H3:I3"/>
    <mergeCell ref="J3:M3"/>
    <mergeCell ref="F4:G4"/>
    <mergeCell ref="H4:I4"/>
    <mergeCell ref="J4:L4"/>
    <mergeCell ref="W4:X4"/>
    <mergeCell ref="Y4:AB4"/>
    <mergeCell ref="F5:G5"/>
    <mergeCell ref="H5:I5"/>
    <mergeCell ref="J5:L5"/>
    <mergeCell ref="W5:X5"/>
    <mergeCell ref="Y5:Z6"/>
    <mergeCell ref="Q3:R6"/>
    <mergeCell ref="S3:T6"/>
    <mergeCell ref="U3:V6"/>
    <mergeCell ref="W3:X3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Plan5"/>
  <dimension ref="B1:M20"/>
  <sheetViews>
    <sheetView showGridLines="0" topLeftCell="E1" zoomScale="79" zoomScaleNormal="79" workbookViewId="0">
      <selection activeCell="J31" sqref="J31"/>
    </sheetView>
  </sheetViews>
  <sheetFormatPr defaultColWidth="10.28515625" defaultRowHeight="22.5" customHeight="1"/>
  <cols>
    <col min="1" max="3" width="10.28515625" style="209" customWidth="1"/>
    <col min="4" max="4" width="13.28515625" style="209" customWidth="1"/>
    <col min="5" max="5" width="32.140625" style="209" customWidth="1"/>
    <col min="6" max="7" width="14.28515625" style="209" customWidth="1"/>
    <col min="8" max="8" width="25.5703125" style="209" bestFit="1" customWidth="1"/>
    <col min="9" max="9" width="22" style="209" customWidth="1"/>
    <col min="10" max="16384" width="10.28515625" style="209"/>
  </cols>
  <sheetData>
    <row r="1" spans="2:13" ht="22.5" customHeight="1" thickBot="1"/>
    <row r="2" spans="2:13" ht="27" customHeight="1" thickBot="1">
      <c r="B2" s="210"/>
      <c r="C2" s="211"/>
      <c r="D2" s="211"/>
      <c r="E2" s="212" t="s">
        <v>41</v>
      </c>
      <c r="F2" s="552" t="s">
        <v>219</v>
      </c>
      <c r="G2" s="553"/>
      <c r="H2" s="553"/>
      <c r="I2" s="554"/>
      <c r="J2" s="211"/>
      <c r="K2" s="211"/>
      <c r="L2" s="211"/>
      <c r="M2" s="213"/>
    </row>
    <row r="3" spans="2:13" ht="22.5" customHeight="1">
      <c r="B3" s="214"/>
      <c r="M3" s="215"/>
    </row>
    <row r="4" spans="2:13" ht="22.5" customHeight="1" thickBot="1">
      <c r="B4" s="214"/>
      <c r="M4" s="215"/>
    </row>
    <row r="5" spans="2:13" ht="22.5" customHeight="1">
      <c r="B5" s="214"/>
      <c r="F5" s="555" t="s">
        <v>220</v>
      </c>
      <c r="G5" s="556"/>
      <c r="H5" s="216" t="s">
        <v>221</v>
      </c>
      <c r="M5" s="215"/>
    </row>
    <row r="6" spans="2:13" ht="22.5" customHeight="1">
      <c r="B6" s="214"/>
      <c r="F6" s="217" t="s">
        <v>222</v>
      </c>
      <c r="G6" s="218" t="s">
        <v>223</v>
      </c>
      <c r="H6" s="219" t="s">
        <v>224</v>
      </c>
      <c r="M6" s="215"/>
    </row>
    <row r="7" spans="2:13" ht="22.5" customHeight="1">
      <c r="B7" s="214"/>
      <c r="F7" s="222">
        <v>60</v>
      </c>
      <c r="G7" s="220">
        <v>82.9</v>
      </c>
      <c r="H7" s="221">
        <v>75</v>
      </c>
      <c r="M7" s="215"/>
    </row>
    <row r="8" spans="2:13" ht="22.5" customHeight="1">
      <c r="B8" s="214"/>
      <c r="F8" s="222">
        <v>83</v>
      </c>
      <c r="G8" s="220">
        <v>124.9</v>
      </c>
      <c r="H8" s="221">
        <v>112.5</v>
      </c>
      <c r="M8" s="215"/>
    </row>
    <row r="9" spans="2:13" ht="22.5" customHeight="1">
      <c r="B9" s="214"/>
      <c r="C9" s="209" t="s">
        <v>225</v>
      </c>
      <c r="F9" s="222">
        <v>125</v>
      </c>
      <c r="G9" s="220">
        <v>165.9</v>
      </c>
      <c r="H9" s="221">
        <v>150</v>
      </c>
      <c r="M9" s="215"/>
    </row>
    <row r="10" spans="2:13" ht="22.5" customHeight="1">
      <c r="B10" s="214"/>
      <c r="F10" s="222">
        <v>166</v>
      </c>
      <c r="G10" s="220">
        <v>248.9</v>
      </c>
      <c r="H10" s="221">
        <v>225</v>
      </c>
      <c r="I10" s="209" t="s">
        <v>226</v>
      </c>
      <c r="M10" s="215"/>
    </row>
    <row r="11" spans="2:13" ht="22.5" customHeight="1">
      <c r="B11" s="214"/>
      <c r="F11" s="222">
        <v>249</v>
      </c>
      <c r="G11" s="220">
        <v>330</v>
      </c>
      <c r="H11" s="221">
        <v>300</v>
      </c>
      <c r="M11" s="215"/>
    </row>
    <row r="12" spans="2:13" ht="22.5" customHeight="1">
      <c r="B12" s="214"/>
      <c r="F12" s="223">
        <v>301</v>
      </c>
      <c r="G12" s="224">
        <v>9.9999999999999908E+22</v>
      </c>
      <c r="H12" s="225" t="s">
        <v>227</v>
      </c>
      <c r="M12" s="215"/>
    </row>
    <row r="13" spans="2:13" ht="22.5" customHeight="1" thickBot="1">
      <c r="B13" s="214"/>
      <c r="F13" s="226"/>
      <c r="G13" s="227"/>
      <c r="H13" s="228" t="s">
        <v>227</v>
      </c>
      <c r="M13" s="215"/>
    </row>
    <row r="14" spans="2:13" ht="22.5" customHeight="1">
      <c r="B14" s="214"/>
      <c r="M14" s="215"/>
    </row>
    <row r="15" spans="2:13" ht="22.5" customHeight="1">
      <c r="B15" s="214"/>
      <c r="M15" s="215"/>
    </row>
    <row r="16" spans="2:13" ht="22.5" customHeight="1">
      <c r="B16" s="214"/>
      <c r="G16" s="263" t="s">
        <v>47</v>
      </c>
      <c r="M16" s="215"/>
    </row>
    <row r="17" spans="2:13" ht="22.5" customHeight="1" thickBot="1">
      <c r="B17" s="214"/>
      <c r="F17" s="229"/>
      <c r="G17" s="229"/>
      <c r="H17" s="229"/>
      <c r="M17" s="215"/>
    </row>
    <row r="18" spans="2:13" ht="22.5" customHeight="1">
      <c r="B18" s="214"/>
      <c r="M18" s="215"/>
    </row>
    <row r="19" spans="2:13" ht="22.5" customHeight="1">
      <c r="B19" s="214"/>
      <c r="M19" s="215"/>
    </row>
    <row r="20" spans="2:13" ht="22.5" customHeight="1" thickBot="1">
      <c r="B20" s="230"/>
      <c r="C20" s="229"/>
      <c r="D20" s="229"/>
      <c r="E20" s="229"/>
      <c r="I20" s="229"/>
      <c r="J20" s="229"/>
      <c r="K20" s="229"/>
      <c r="L20" s="229"/>
      <c r="M20" s="231"/>
    </row>
  </sheetData>
  <mergeCells count="2">
    <mergeCell ref="F2:I2"/>
    <mergeCell ref="F5:G5"/>
  </mergeCells>
  <pageMargins left="0.78740157499999996" right="0.78740157499999996" top="0.984251969" bottom="0.984251969" header="0.49212598499999999" footer="0.49212598499999999"/>
  <pageSetup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codeName="Plan111"/>
  <dimension ref="A1:C94"/>
  <sheetViews>
    <sheetView workbookViewId="0">
      <selection activeCell="B2" sqref="B2:E2"/>
    </sheetView>
  </sheetViews>
  <sheetFormatPr defaultColWidth="9.140625" defaultRowHeight="12.75"/>
  <cols>
    <col min="1" max="1" width="42" style="170" customWidth="1"/>
    <col min="2" max="3" width="18.42578125" style="170" customWidth="1"/>
    <col min="4" max="16384" width="9.140625" style="170"/>
  </cols>
  <sheetData>
    <row r="1" spans="1:3" ht="13.5" thickBot="1"/>
    <row r="2" spans="1:3" ht="14.25" thickTop="1" thickBot="1">
      <c r="A2" s="558" t="s">
        <v>228</v>
      </c>
      <c r="B2" s="559" t="s">
        <v>229</v>
      </c>
      <c r="C2" s="467"/>
    </row>
    <row r="3" spans="1:3" ht="13.5" thickBot="1">
      <c r="A3" s="477"/>
      <c r="B3" s="188" t="s">
        <v>230</v>
      </c>
      <c r="C3" s="193" t="s">
        <v>231</v>
      </c>
    </row>
    <row r="4" spans="1:3" ht="13.5" thickBot="1">
      <c r="A4" s="557" t="s">
        <v>232</v>
      </c>
      <c r="B4" s="557"/>
      <c r="C4" s="557"/>
    </row>
    <row r="5" spans="1:3" ht="26.25" thickBot="1">
      <c r="A5" s="232" t="s">
        <v>233</v>
      </c>
      <c r="B5" s="191" t="s">
        <v>234</v>
      </c>
      <c r="C5" s="192" t="s">
        <v>235</v>
      </c>
    </row>
    <row r="6" spans="1:3" ht="13.5" thickBot="1">
      <c r="A6" s="232" t="s">
        <v>236</v>
      </c>
      <c r="B6" s="191" t="s">
        <v>237</v>
      </c>
      <c r="C6" s="192" t="s">
        <v>237</v>
      </c>
    </row>
    <row r="7" spans="1:3" ht="13.5" thickBot="1">
      <c r="A7" s="232" t="s">
        <v>238</v>
      </c>
      <c r="B7" s="191" t="s">
        <v>239</v>
      </c>
      <c r="C7" s="192" t="s">
        <v>239</v>
      </c>
    </row>
    <row r="8" spans="1:3" ht="13.5" thickBot="1">
      <c r="A8" s="232" t="s">
        <v>240</v>
      </c>
      <c r="B8" s="191" t="s">
        <v>241</v>
      </c>
      <c r="C8" s="192" t="s">
        <v>241</v>
      </c>
    </row>
    <row r="9" spans="1:3" ht="13.5" thickBot="1">
      <c r="A9" s="232" t="s">
        <v>242</v>
      </c>
      <c r="B9" s="191" t="s">
        <v>243</v>
      </c>
      <c r="C9" s="192" t="s">
        <v>243</v>
      </c>
    </row>
    <row r="10" spans="1:3" ht="13.5" thickBot="1">
      <c r="A10" s="557" t="s">
        <v>244</v>
      </c>
      <c r="B10" s="557"/>
      <c r="C10" s="557"/>
    </row>
    <row r="11" spans="1:3" ht="13.5" thickBot="1">
      <c r="A11" s="232" t="s">
        <v>233</v>
      </c>
      <c r="B11" s="191" t="s">
        <v>234</v>
      </c>
      <c r="C11" s="192" t="s">
        <v>234</v>
      </c>
    </row>
    <row r="12" spans="1:3" ht="13.5" thickBot="1">
      <c r="A12" s="232" t="s">
        <v>236</v>
      </c>
      <c r="B12" s="191" t="s">
        <v>245</v>
      </c>
      <c r="C12" s="192" t="s">
        <v>245</v>
      </c>
    </row>
    <row r="13" spans="1:3" ht="13.5" thickBot="1">
      <c r="A13" s="232" t="s">
        <v>246</v>
      </c>
      <c r="B13" s="191" t="s">
        <v>247</v>
      </c>
      <c r="C13" s="192" t="s">
        <v>247</v>
      </c>
    </row>
    <row r="14" spans="1:3" ht="13.5" thickBot="1">
      <c r="A14" s="232" t="s">
        <v>242</v>
      </c>
      <c r="B14" s="191" t="s">
        <v>248</v>
      </c>
      <c r="C14" s="192" t="s">
        <v>248</v>
      </c>
    </row>
    <row r="15" spans="1:3" ht="13.5" thickBot="1">
      <c r="A15" s="557" t="s">
        <v>249</v>
      </c>
      <c r="B15" s="557"/>
      <c r="C15" s="557"/>
    </row>
    <row r="16" spans="1:3" ht="13.5" thickBot="1">
      <c r="A16" s="232" t="s">
        <v>233</v>
      </c>
      <c r="B16" s="191" t="s">
        <v>234</v>
      </c>
      <c r="C16" s="192" t="s">
        <v>234</v>
      </c>
    </row>
    <row r="17" spans="1:3" ht="13.5" thickBot="1">
      <c r="A17" s="232" t="s">
        <v>250</v>
      </c>
      <c r="B17" s="191" t="s">
        <v>245</v>
      </c>
      <c r="C17" s="192" t="s">
        <v>245</v>
      </c>
    </row>
    <row r="18" spans="1:3" ht="13.5" thickBot="1">
      <c r="A18" s="232" t="s">
        <v>242</v>
      </c>
      <c r="B18" s="191" t="s">
        <v>243</v>
      </c>
      <c r="C18" s="192" t="s">
        <v>248</v>
      </c>
    </row>
    <row r="19" spans="1:3" ht="13.5" thickBot="1">
      <c r="A19" s="557" t="s">
        <v>251</v>
      </c>
      <c r="B19" s="557"/>
      <c r="C19" s="557"/>
    </row>
    <row r="20" spans="1:3" ht="13.5" thickBot="1">
      <c r="A20" s="232" t="s">
        <v>233</v>
      </c>
      <c r="B20" s="191" t="s">
        <v>234</v>
      </c>
      <c r="C20" s="192" t="s">
        <v>234</v>
      </c>
    </row>
    <row r="21" spans="1:3" ht="13.5" thickBot="1">
      <c r="A21" s="232" t="s">
        <v>236</v>
      </c>
      <c r="B21" s="191" t="s">
        <v>252</v>
      </c>
      <c r="C21" s="192" t="s">
        <v>252</v>
      </c>
    </row>
    <row r="22" spans="1:3" ht="13.5" thickBot="1">
      <c r="A22" s="232" t="s">
        <v>242</v>
      </c>
      <c r="B22" s="191" t="s">
        <v>243</v>
      </c>
      <c r="C22" s="192" t="s">
        <v>248</v>
      </c>
    </row>
    <row r="23" spans="1:3" ht="13.5" thickBot="1">
      <c r="A23" s="557" t="s">
        <v>253</v>
      </c>
      <c r="B23" s="557"/>
      <c r="C23" s="557"/>
    </row>
    <row r="24" spans="1:3" ht="13.5" thickBot="1">
      <c r="A24" s="232" t="s">
        <v>233</v>
      </c>
      <c r="B24" s="191" t="s">
        <v>234</v>
      </c>
      <c r="C24" s="192" t="s">
        <v>234</v>
      </c>
    </row>
    <row r="25" spans="1:3" ht="13.5" thickBot="1">
      <c r="A25" s="232" t="s">
        <v>250</v>
      </c>
      <c r="B25" s="191" t="s">
        <v>245</v>
      </c>
      <c r="C25" s="192" t="s">
        <v>245</v>
      </c>
    </row>
    <row r="26" spans="1:3" ht="13.5" thickBot="1">
      <c r="A26" s="232" t="s">
        <v>254</v>
      </c>
      <c r="B26" s="191" t="s">
        <v>255</v>
      </c>
      <c r="C26" s="192" t="s">
        <v>255</v>
      </c>
    </row>
    <row r="27" spans="1:3" ht="13.5" thickBot="1">
      <c r="A27" s="232" t="s">
        <v>242</v>
      </c>
      <c r="B27" s="191" t="s">
        <v>243</v>
      </c>
      <c r="C27" s="192" t="s">
        <v>248</v>
      </c>
    </row>
    <row r="28" spans="1:3" ht="13.5" thickBot="1">
      <c r="A28" s="557" t="s">
        <v>256</v>
      </c>
      <c r="B28" s="557"/>
      <c r="C28" s="557"/>
    </row>
    <row r="29" spans="1:3" ht="13.5" thickBot="1">
      <c r="A29" s="232" t="s">
        <v>233</v>
      </c>
      <c r="B29" s="191" t="s">
        <v>257</v>
      </c>
      <c r="C29" s="192" t="s">
        <v>257</v>
      </c>
    </row>
    <row r="30" spans="1:3" ht="13.5" thickBot="1">
      <c r="A30" s="232" t="s">
        <v>258</v>
      </c>
      <c r="B30" s="191" t="s">
        <v>239</v>
      </c>
      <c r="C30" s="192" t="s">
        <v>239</v>
      </c>
    </row>
    <row r="31" spans="1:3" ht="13.5" thickBot="1">
      <c r="A31" s="232" t="s">
        <v>242</v>
      </c>
      <c r="B31" s="191" t="s">
        <v>243</v>
      </c>
      <c r="C31" s="192" t="s">
        <v>243</v>
      </c>
    </row>
    <row r="32" spans="1:3" ht="13.5" thickBot="1">
      <c r="A32" s="233" t="s">
        <v>259</v>
      </c>
      <c r="B32" s="191" t="s">
        <v>260</v>
      </c>
      <c r="C32" s="192" t="s">
        <v>184</v>
      </c>
    </row>
    <row r="33" spans="1:3" ht="51.75" customHeight="1" thickBot="1">
      <c r="A33" s="234" t="s">
        <v>261</v>
      </c>
      <c r="B33" s="560" t="s">
        <v>262</v>
      </c>
      <c r="C33" s="561"/>
    </row>
    <row r="34" spans="1:3" ht="13.5" thickBot="1">
      <c r="A34" s="233" t="s">
        <v>263</v>
      </c>
      <c r="B34" s="191" t="s">
        <v>184</v>
      </c>
      <c r="C34" s="192" t="s">
        <v>184</v>
      </c>
    </row>
    <row r="35" spans="1:3" ht="13.5" thickBot="1">
      <c r="A35" s="232" t="s">
        <v>264</v>
      </c>
      <c r="B35" s="191" t="s">
        <v>265</v>
      </c>
      <c r="C35" s="192" t="s">
        <v>265</v>
      </c>
    </row>
    <row r="36" spans="1:3" ht="26.25" thickBot="1">
      <c r="A36" s="232" t="s">
        <v>266</v>
      </c>
      <c r="B36" s="191" t="s">
        <v>267</v>
      </c>
      <c r="C36" s="192" t="s">
        <v>267</v>
      </c>
    </row>
    <row r="37" spans="1:3" ht="13.5" thickBot="1">
      <c r="A37" s="233" t="s">
        <v>268</v>
      </c>
      <c r="B37" s="191" t="s">
        <v>269</v>
      </c>
      <c r="C37" s="192" t="s">
        <v>270</v>
      </c>
    </row>
    <row r="38" spans="1:3" ht="13.5" thickBot="1">
      <c r="A38" s="562" t="s">
        <v>271</v>
      </c>
      <c r="B38" s="562"/>
      <c r="C38" s="562"/>
    </row>
    <row r="39" spans="1:3" ht="13.5" thickBot="1">
      <c r="A39" s="234" t="s">
        <v>272</v>
      </c>
      <c r="B39" s="184" t="s">
        <v>273</v>
      </c>
      <c r="C39" s="185" t="s">
        <v>274</v>
      </c>
    </row>
    <row r="40" spans="1:3" ht="13.5" thickBot="1">
      <c r="A40" s="234" t="s">
        <v>275</v>
      </c>
      <c r="B40" s="184" t="s">
        <v>276</v>
      </c>
      <c r="C40" s="185" t="s">
        <v>277</v>
      </c>
    </row>
    <row r="41" spans="1:3" ht="13.5" thickBot="1">
      <c r="A41" s="557" t="s">
        <v>278</v>
      </c>
      <c r="B41" s="557"/>
      <c r="C41" s="557"/>
    </row>
    <row r="42" spans="1:3" ht="13.5" thickBot="1">
      <c r="A42" s="232" t="s">
        <v>233</v>
      </c>
      <c r="B42" s="191" t="s">
        <v>234</v>
      </c>
      <c r="C42" s="192" t="s">
        <v>234</v>
      </c>
    </row>
    <row r="43" spans="1:3" ht="13.5" thickBot="1">
      <c r="A43" s="232" t="s">
        <v>279</v>
      </c>
      <c r="B43" s="191" t="s">
        <v>280</v>
      </c>
      <c r="C43" s="192" t="s">
        <v>280</v>
      </c>
    </row>
    <row r="44" spans="1:3" ht="39" thickBot="1">
      <c r="A44" s="232" t="s">
        <v>281</v>
      </c>
      <c r="B44" s="191" t="s">
        <v>282</v>
      </c>
      <c r="C44" s="192" t="s">
        <v>283</v>
      </c>
    </row>
    <row r="45" spans="1:3" ht="13.5" thickBot="1">
      <c r="A45" s="232" t="s">
        <v>284</v>
      </c>
      <c r="B45" s="191" t="s">
        <v>156</v>
      </c>
      <c r="C45" s="192" t="s">
        <v>156</v>
      </c>
    </row>
    <row r="46" spans="1:3" ht="13.5" thickBot="1">
      <c r="A46" s="232" t="s">
        <v>285</v>
      </c>
      <c r="B46" s="191" t="s">
        <v>286</v>
      </c>
      <c r="C46" s="192" t="s">
        <v>286</v>
      </c>
    </row>
    <row r="47" spans="1:3" ht="13.5" thickBot="1">
      <c r="A47" s="232" t="s">
        <v>287</v>
      </c>
      <c r="B47" s="504" t="s">
        <v>288</v>
      </c>
      <c r="C47" s="512"/>
    </row>
    <row r="48" spans="1:3" ht="13.5" thickBot="1">
      <c r="A48" s="232" t="s">
        <v>289</v>
      </c>
      <c r="B48" s="504" t="s">
        <v>290</v>
      </c>
      <c r="C48" s="512"/>
    </row>
    <row r="49" spans="1:3" ht="13.5" thickBot="1">
      <c r="A49" s="471" t="s">
        <v>291</v>
      </c>
      <c r="B49" s="563" t="s">
        <v>229</v>
      </c>
      <c r="C49" s="564"/>
    </row>
    <row r="50" spans="1:3" ht="13.5" thickBot="1">
      <c r="A50" s="477"/>
      <c r="B50" s="188" t="s">
        <v>230</v>
      </c>
      <c r="C50" s="193" t="s">
        <v>231</v>
      </c>
    </row>
    <row r="51" spans="1:3" ht="13.5" thickBot="1">
      <c r="A51" s="557" t="s">
        <v>232</v>
      </c>
      <c r="B51" s="557"/>
      <c r="C51" s="557"/>
    </row>
    <row r="52" spans="1:3" ht="26.25" thickBot="1">
      <c r="A52" s="234" t="s">
        <v>233</v>
      </c>
      <c r="B52" s="184" t="s">
        <v>292</v>
      </c>
      <c r="C52" s="185" t="s">
        <v>293</v>
      </c>
    </row>
    <row r="53" spans="1:3" ht="13.5" thickBot="1">
      <c r="A53" s="234" t="s">
        <v>236</v>
      </c>
      <c r="B53" s="184" t="s">
        <v>237</v>
      </c>
      <c r="C53" s="185" t="s">
        <v>237</v>
      </c>
    </row>
    <row r="54" spans="1:3" ht="13.5" thickBot="1">
      <c r="A54" s="234" t="s">
        <v>238</v>
      </c>
      <c r="B54" s="184" t="s">
        <v>294</v>
      </c>
      <c r="C54" s="185" t="s">
        <v>294</v>
      </c>
    </row>
    <row r="55" spans="1:3" ht="13.5" thickBot="1">
      <c r="A55" s="234" t="s">
        <v>240</v>
      </c>
      <c r="B55" s="184" t="s">
        <v>241</v>
      </c>
      <c r="C55" s="185" t="s">
        <v>241</v>
      </c>
    </row>
    <row r="56" spans="1:3" ht="13.5" thickBot="1">
      <c r="A56" s="234" t="s">
        <v>242</v>
      </c>
      <c r="B56" s="184" t="s">
        <v>295</v>
      </c>
      <c r="C56" s="185" t="s">
        <v>295</v>
      </c>
    </row>
    <row r="57" spans="1:3" ht="13.5" thickBot="1">
      <c r="A57" s="557" t="s">
        <v>244</v>
      </c>
      <c r="B57" s="557"/>
      <c r="C57" s="557"/>
    </row>
    <row r="58" spans="1:3" ht="13.5" thickBot="1">
      <c r="A58" s="234" t="s">
        <v>233</v>
      </c>
      <c r="B58" s="184" t="s">
        <v>296</v>
      </c>
      <c r="C58" s="185" t="s">
        <v>296</v>
      </c>
    </row>
    <row r="59" spans="1:3" ht="13.5" thickBot="1">
      <c r="A59" s="234" t="s">
        <v>236</v>
      </c>
      <c r="B59" s="184" t="s">
        <v>245</v>
      </c>
      <c r="C59" s="185" t="s">
        <v>245</v>
      </c>
    </row>
    <row r="60" spans="1:3" ht="13.5" thickBot="1">
      <c r="A60" s="234" t="s">
        <v>242</v>
      </c>
      <c r="B60" s="184" t="s">
        <v>295</v>
      </c>
      <c r="C60" s="185" t="s">
        <v>295</v>
      </c>
    </row>
    <row r="61" spans="1:3" ht="13.5" thickBot="1">
      <c r="A61" s="557" t="s">
        <v>249</v>
      </c>
      <c r="B61" s="557"/>
      <c r="C61" s="557"/>
    </row>
    <row r="62" spans="1:3" ht="13.5" thickBot="1">
      <c r="A62" s="234" t="s">
        <v>233</v>
      </c>
      <c r="B62" s="184" t="s">
        <v>296</v>
      </c>
      <c r="C62" s="185" t="s">
        <v>296</v>
      </c>
    </row>
    <row r="63" spans="1:3" ht="13.5" thickBot="1">
      <c r="A63" s="234" t="s">
        <v>250</v>
      </c>
      <c r="B63" s="184" t="s">
        <v>245</v>
      </c>
      <c r="C63" s="185" t="s">
        <v>245</v>
      </c>
    </row>
    <row r="64" spans="1:3" ht="13.5" thickBot="1">
      <c r="A64" s="234" t="s">
        <v>242</v>
      </c>
      <c r="B64" s="184" t="s">
        <v>295</v>
      </c>
      <c r="C64" s="185" t="s">
        <v>295</v>
      </c>
    </row>
    <row r="65" spans="1:3" ht="13.5" thickBot="1">
      <c r="A65" s="557" t="s">
        <v>251</v>
      </c>
      <c r="B65" s="557"/>
      <c r="C65" s="557"/>
    </row>
    <row r="66" spans="1:3" ht="13.5" thickBot="1">
      <c r="A66" s="234" t="s">
        <v>233</v>
      </c>
      <c r="B66" s="184" t="s">
        <v>296</v>
      </c>
      <c r="C66" s="185" t="s">
        <v>296</v>
      </c>
    </row>
    <row r="67" spans="1:3" ht="13.5" thickBot="1">
      <c r="A67" s="234" t="s">
        <v>236</v>
      </c>
      <c r="B67" s="184" t="s">
        <v>252</v>
      </c>
      <c r="C67" s="185" t="s">
        <v>252</v>
      </c>
    </row>
    <row r="68" spans="1:3" ht="13.5" thickBot="1">
      <c r="A68" s="234" t="s">
        <v>242</v>
      </c>
      <c r="B68" s="184" t="s">
        <v>295</v>
      </c>
      <c r="C68" s="185" t="s">
        <v>295</v>
      </c>
    </row>
    <row r="69" spans="1:3" ht="13.5" thickBot="1">
      <c r="A69" s="562" t="s">
        <v>253</v>
      </c>
      <c r="B69" s="562"/>
      <c r="C69" s="562"/>
    </row>
    <row r="70" spans="1:3" ht="13.5" thickBot="1">
      <c r="A70" s="234" t="s">
        <v>233</v>
      </c>
      <c r="B70" s="184" t="s">
        <v>292</v>
      </c>
      <c r="C70" s="185" t="s">
        <v>292</v>
      </c>
    </row>
    <row r="71" spans="1:3" ht="13.5" thickBot="1">
      <c r="A71" s="234" t="s">
        <v>250</v>
      </c>
      <c r="B71" s="184" t="s">
        <v>245</v>
      </c>
      <c r="C71" s="185" t="s">
        <v>245</v>
      </c>
    </row>
    <row r="72" spans="1:3" ht="13.5" thickBot="1">
      <c r="A72" s="234" t="s">
        <v>254</v>
      </c>
      <c r="B72" s="184" t="s">
        <v>255</v>
      </c>
      <c r="C72" s="185" t="s">
        <v>255</v>
      </c>
    </row>
    <row r="73" spans="1:3" ht="13.5" thickBot="1">
      <c r="A73" s="234" t="s">
        <v>242</v>
      </c>
      <c r="B73" s="184" t="s">
        <v>297</v>
      </c>
      <c r="C73" s="185" t="s">
        <v>297</v>
      </c>
    </row>
    <row r="74" spans="1:3" ht="13.5" thickBot="1">
      <c r="A74" s="562" t="s">
        <v>256</v>
      </c>
      <c r="B74" s="562"/>
      <c r="C74" s="562"/>
    </row>
    <row r="75" spans="1:3" ht="13.5" thickBot="1">
      <c r="A75" s="234" t="s">
        <v>233</v>
      </c>
      <c r="B75" s="184" t="s">
        <v>298</v>
      </c>
      <c r="C75" s="185" t="s">
        <v>298</v>
      </c>
    </row>
    <row r="76" spans="1:3" ht="13.5" thickBot="1">
      <c r="A76" s="234" t="s">
        <v>258</v>
      </c>
      <c r="B76" s="184" t="s">
        <v>239</v>
      </c>
      <c r="C76" s="185" t="s">
        <v>239</v>
      </c>
    </row>
    <row r="77" spans="1:3" ht="13.5" thickBot="1">
      <c r="A77" s="235" t="s">
        <v>259</v>
      </c>
      <c r="B77" s="184" t="s">
        <v>260</v>
      </c>
      <c r="C77" s="185" t="s">
        <v>184</v>
      </c>
    </row>
    <row r="78" spans="1:3" ht="13.5" thickBot="1">
      <c r="A78" s="234" t="s">
        <v>261</v>
      </c>
      <c r="B78" s="560" t="s">
        <v>262</v>
      </c>
      <c r="C78" s="561"/>
    </row>
    <row r="79" spans="1:3" ht="13.5" thickBot="1">
      <c r="A79" s="235" t="s">
        <v>263</v>
      </c>
      <c r="B79" s="184" t="s">
        <v>184</v>
      </c>
      <c r="C79" s="185" t="s">
        <v>184</v>
      </c>
    </row>
    <row r="80" spans="1:3" ht="13.5" thickBot="1">
      <c r="A80" s="234" t="s">
        <v>264</v>
      </c>
      <c r="B80" s="184" t="s">
        <v>299</v>
      </c>
      <c r="C80" s="185" t="s">
        <v>299</v>
      </c>
    </row>
    <row r="81" spans="1:3" ht="26.25" thickBot="1">
      <c r="A81" s="234" t="s">
        <v>266</v>
      </c>
      <c r="B81" s="184" t="s">
        <v>267</v>
      </c>
      <c r="C81" s="185" t="s">
        <v>267</v>
      </c>
    </row>
    <row r="82" spans="1:3" ht="13.5" thickBot="1">
      <c r="A82" s="235" t="s">
        <v>268</v>
      </c>
      <c r="B82" s="184" t="s">
        <v>270</v>
      </c>
      <c r="C82" s="185" t="s">
        <v>300</v>
      </c>
    </row>
    <row r="83" spans="1:3" ht="13.5" thickBot="1">
      <c r="A83" s="562" t="s">
        <v>271</v>
      </c>
      <c r="B83" s="562"/>
      <c r="C83" s="562"/>
    </row>
    <row r="84" spans="1:3" ht="13.5" thickBot="1">
      <c r="A84" s="234" t="s">
        <v>272</v>
      </c>
      <c r="B84" s="184" t="s">
        <v>301</v>
      </c>
      <c r="C84" s="185" t="s">
        <v>274</v>
      </c>
    </row>
    <row r="85" spans="1:3" ht="13.5" thickBot="1">
      <c r="A85" s="234" t="s">
        <v>275</v>
      </c>
      <c r="B85" s="184" t="s">
        <v>302</v>
      </c>
      <c r="C85" s="185" t="s">
        <v>303</v>
      </c>
    </row>
    <row r="86" spans="1:3" ht="13.5" thickBot="1">
      <c r="A86" s="562" t="s">
        <v>278</v>
      </c>
      <c r="B86" s="562"/>
      <c r="C86" s="562"/>
    </row>
    <row r="87" spans="1:3" ht="13.5" thickBot="1">
      <c r="A87" s="234" t="s">
        <v>233</v>
      </c>
      <c r="B87" s="184" t="s">
        <v>292</v>
      </c>
      <c r="C87" s="185" t="s">
        <v>292</v>
      </c>
    </row>
    <row r="88" spans="1:3" ht="13.5" thickBot="1">
      <c r="A88" s="234" t="s">
        <v>279</v>
      </c>
      <c r="B88" s="184" t="s">
        <v>292</v>
      </c>
      <c r="C88" s="185" t="s">
        <v>292</v>
      </c>
    </row>
    <row r="89" spans="1:3" ht="39" thickBot="1">
      <c r="A89" s="234" t="s">
        <v>281</v>
      </c>
      <c r="B89" s="184" t="s">
        <v>282</v>
      </c>
      <c r="C89" s="192" t="s">
        <v>283</v>
      </c>
    </row>
    <row r="90" spans="1:3" ht="13.5" thickBot="1">
      <c r="A90" s="234" t="s">
        <v>284</v>
      </c>
      <c r="B90" s="184" t="s">
        <v>157</v>
      </c>
      <c r="C90" s="185" t="s">
        <v>157</v>
      </c>
    </row>
    <row r="91" spans="1:3" ht="13.5" thickBot="1">
      <c r="A91" s="234" t="s">
        <v>285</v>
      </c>
      <c r="B91" s="184" t="s">
        <v>286</v>
      </c>
      <c r="C91" s="185" t="s">
        <v>286</v>
      </c>
    </row>
    <row r="92" spans="1:3" ht="13.5" thickBot="1">
      <c r="A92" s="234" t="s">
        <v>287</v>
      </c>
      <c r="B92" s="506" t="s">
        <v>288</v>
      </c>
      <c r="C92" s="508"/>
    </row>
    <row r="93" spans="1:3" ht="13.5" thickBot="1">
      <c r="A93" s="236" t="s">
        <v>304</v>
      </c>
      <c r="B93" s="539" t="s">
        <v>305</v>
      </c>
      <c r="C93" s="565"/>
    </row>
    <row r="94" spans="1:3" ht="13.5" thickTop="1"/>
  </sheetData>
  <mergeCells count="26">
    <mergeCell ref="B92:C92"/>
    <mergeCell ref="B93:C93"/>
    <mergeCell ref="A65:C65"/>
    <mergeCell ref="A69:C69"/>
    <mergeCell ref="A74:C74"/>
    <mergeCell ref="B78:C78"/>
    <mergeCell ref="A83:C83"/>
    <mergeCell ref="A86:C86"/>
    <mergeCell ref="A61:C61"/>
    <mergeCell ref="A23:C23"/>
    <mergeCell ref="A28:C28"/>
    <mergeCell ref="B33:C33"/>
    <mergeCell ref="A38:C38"/>
    <mergeCell ref="A41:C41"/>
    <mergeCell ref="B47:C47"/>
    <mergeCell ref="B48:C48"/>
    <mergeCell ref="A49:A50"/>
    <mergeCell ref="B49:C49"/>
    <mergeCell ref="A51:C51"/>
    <mergeCell ref="A57:C57"/>
    <mergeCell ref="A19:C19"/>
    <mergeCell ref="A2:A3"/>
    <mergeCell ref="B2:C2"/>
    <mergeCell ref="A4:C4"/>
    <mergeCell ref="A10:C10"/>
    <mergeCell ref="A15:C15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B1:I49"/>
  <sheetViews>
    <sheetView showGridLines="0" zoomScale="67" zoomScaleNormal="67" workbookViewId="0">
      <selection activeCell="C23" sqref="C23"/>
    </sheetView>
  </sheetViews>
  <sheetFormatPr defaultColWidth="15.85546875" defaultRowHeight="12.75"/>
  <cols>
    <col min="1" max="3" width="15.85546875" style="170"/>
    <col min="4" max="4" width="19.7109375" style="170" customWidth="1"/>
    <col min="5" max="16384" width="15.85546875" style="170"/>
  </cols>
  <sheetData>
    <row r="1" spans="2:9" ht="13.5" thickBot="1"/>
    <row r="2" spans="2:9" ht="31.5" customHeight="1" thickBot="1">
      <c r="B2" s="237"/>
      <c r="C2" s="552" t="s">
        <v>35</v>
      </c>
      <c r="D2" s="566"/>
      <c r="E2" s="238" t="s">
        <v>306</v>
      </c>
      <c r="F2" s="238"/>
      <c r="G2" s="238"/>
      <c r="H2" s="239"/>
      <c r="I2" s="240"/>
    </row>
    <row r="3" spans="2:9" ht="13.5" thickBot="1">
      <c r="B3" s="69"/>
      <c r="I3" s="241"/>
    </row>
    <row r="4" spans="2:9">
      <c r="B4" s="69"/>
      <c r="E4" s="242" t="s">
        <v>307</v>
      </c>
      <c r="F4" s="243" t="s">
        <v>308</v>
      </c>
      <c r="I4" s="241"/>
    </row>
    <row r="5" spans="2:9">
      <c r="B5" s="69"/>
      <c r="E5" s="244">
        <v>0.5</v>
      </c>
      <c r="F5" s="245">
        <v>1.306</v>
      </c>
      <c r="G5" s="246">
        <f>(TAN(ACOS(E5))-TAN(ACOS(0.92)))</f>
        <v>1.3060525914326722</v>
      </c>
      <c r="I5" s="241"/>
    </row>
    <row r="6" spans="2:9">
      <c r="B6" s="69"/>
      <c r="E6" s="244">
        <v>0.51</v>
      </c>
      <c r="F6" s="245">
        <v>1.2609999999999999</v>
      </c>
      <c r="G6" s="246">
        <f t="shared" ref="G6:G47" si="0">(TAN(ACOS(E6))-TAN(ACOS(0.92)))</f>
        <v>1.2606182562581398</v>
      </c>
      <c r="I6" s="241"/>
    </row>
    <row r="7" spans="2:9">
      <c r="B7" s="69"/>
      <c r="E7" s="244">
        <v>0.52</v>
      </c>
      <c r="F7" s="245">
        <v>1.2170000000000001</v>
      </c>
      <c r="G7" s="246">
        <f t="shared" si="0"/>
        <v>1.2166292072532279</v>
      </c>
      <c r="I7" s="241"/>
    </row>
    <row r="8" spans="2:9">
      <c r="B8" s="69"/>
      <c r="E8" s="244">
        <v>0.53</v>
      </c>
      <c r="F8" s="245">
        <v>1.1739999999999999</v>
      </c>
      <c r="G8" s="246">
        <f t="shared" si="0"/>
        <v>1.1739973338754066</v>
      </c>
      <c r="I8" s="241"/>
    </row>
    <row r="9" spans="2:9">
      <c r="B9" s="69"/>
      <c r="E9" s="244">
        <v>0.54</v>
      </c>
      <c r="F9" s="245">
        <v>1.133</v>
      </c>
      <c r="G9" s="246">
        <f t="shared" si="0"/>
        <v>1.1326407033082992</v>
      </c>
      <c r="I9" s="241"/>
    </row>
    <row r="10" spans="2:9">
      <c r="B10" s="69"/>
      <c r="E10" s="244">
        <v>0.55000000000000004</v>
      </c>
      <c r="F10" s="245">
        <v>1.0920000000000001</v>
      </c>
      <c r="G10" s="246">
        <f t="shared" si="0"/>
        <v>1.0924829737265283</v>
      </c>
      <c r="I10" s="241"/>
    </row>
    <row r="11" spans="2:9">
      <c r="B11" s="69"/>
      <c r="E11" s="244">
        <v>0.56000000000000005</v>
      </c>
      <c r="F11" s="245">
        <v>1.0529999999999999</v>
      </c>
      <c r="G11" s="246">
        <f t="shared" si="0"/>
        <v>1.053452867950079</v>
      </c>
      <c r="I11" s="241"/>
    </row>
    <row r="12" spans="2:9">
      <c r="B12" s="69"/>
      <c r="E12" s="244">
        <v>0.56999999999999995</v>
      </c>
      <c r="F12" s="245">
        <v>1.0149999999999999</v>
      </c>
      <c r="G12" s="246">
        <f t="shared" si="0"/>
        <v>1.015483699768811</v>
      </c>
      <c r="I12" s="241"/>
    </row>
    <row r="13" spans="2:9">
      <c r="B13" s="69"/>
      <c r="E13" s="244">
        <v>0.57999999999999996</v>
      </c>
      <c r="F13" s="245">
        <v>0.97899999999999998</v>
      </c>
      <c r="G13" s="246">
        <f t="shared" si="0"/>
        <v>0.97851294623733343</v>
      </c>
      <c r="I13" s="241"/>
    </row>
    <row r="14" spans="2:9">
      <c r="B14" s="69"/>
      <c r="E14" s="244">
        <v>0.59</v>
      </c>
      <c r="F14" s="245">
        <v>0.94199999999999995</v>
      </c>
      <c r="G14" s="246">
        <f t="shared" si="0"/>
        <v>0.94248186009663959</v>
      </c>
      <c r="I14" s="241"/>
    </row>
    <row r="15" spans="2:9">
      <c r="B15" s="69"/>
      <c r="E15" s="244">
        <v>0.6</v>
      </c>
      <c r="F15" s="245">
        <v>0.90700000000000003</v>
      </c>
      <c r="G15" s="246">
        <f t="shared" si="0"/>
        <v>0.90733511719712867</v>
      </c>
      <c r="I15" s="241"/>
    </row>
    <row r="16" spans="2:9">
      <c r="B16" s="69"/>
      <c r="E16" s="244">
        <v>0.61</v>
      </c>
      <c r="F16" s="245">
        <v>0.873</v>
      </c>
      <c r="G16" s="246">
        <f t="shared" si="0"/>
        <v>0.87302049439871543</v>
      </c>
      <c r="I16" s="241"/>
    </row>
    <row r="17" spans="2:9">
      <c r="B17" s="69"/>
      <c r="E17" s="244">
        <v>0.62</v>
      </c>
      <c r="F17" s="245">
        <v>0.83899999999999997</v>
      </c>
      <c r="G17" s="246">
        <f t="shared" si="0"/>
        <v>0.83948857392399079</v>
      </c>
      <c r="I17" s="241"/>
    </row>
    <row r="18" spans="2:9">
      <c r="B18" s="69"/>
      <c r="E18" s="244">
        <v>0.63</v>
      </c>
      <c r="F18" s="245">
        <v>0.80700000000000005</v>
      </c>
      <c r="G18" s="246">
        <f t="shared" si="0"/>
        <v>0.80669247055293347</v>
      </c>
      <c r="I18" s="241"/>
    </row>
    <row r="19" spans="2:9">
      <c r="B19" s="69"/>
      <c r="E19" s="244">
        <v>0.64</v>
      </c>
      <c r="F19" s="245">
        <v>0.77500000000000002</v>
      </c>
      <c r="G19" s="246">
        <f t="shared" si="0"/>
        <v>0.77458757838245429</v>
      </c>
      <c r="I19" s="241"/>
    </row>
    <row r="20" spans="2:9">
      <c r="B20" s="69"/>
      <c r="E20" s="244">
        <v>0.65</v>
      </c>
      <c r="F20" s="245">
        <v>0.74299999999999999</v>
      </c>
      <c r="G20" s="246">
        <f t="shared" si="0"/>
        <v>0.74313133413846177</v>
      </c>
      <c r="I20" s="241"/>
    </row>
    <row r="21" spans="2:9">
      <c r="B21" s="69"/>
      <c r="E21" s="244">
        <v>0.66</v>
      </c>
      <c r="F21" s="245">
        <v>0.71199999999999997</v>
      </c>
      <c r="G21" s="246">
        <f t="shared" si="0"/>
        <v>0.71228299422700436</v>
      </c>
      <c r="I21" s="241"/>
    </row>
    <row r="22" spans="2:9">
      <c r="B22" s="69"/>
      <c r="E22" s="244">
        <v>0.67</v>
      </c>
      <c r="F22" s="245">
        <v>0.68200000000000005</v>
      </c>
      <c r="G22" s="246">
        <f t="shared" si="0"/>
        <v>0.68200342284692739</v>
      </c>
      <c r="I22" s="241"/>
    </row>
    <row r="23" spans="2:9">
      <c r="B23" s="69"/>
      <c r="E23" s="244">
        <v>0.68</v>
      </c>
      <c r="F23" s="245">
        <v>0.65200000000000002</v>
      </c>
      <c r="G23" s="246">
        <f t="shared" si="0"/>
        <v>0.65225488855928693</v>
      </c>
      <c r="I23" s="241"/>
    </row>
    <row r="24" spans="2:9">
      <c r="B24" s="69"/>
      <c r="E24" s="244">
        <v>0.69</v>
      </c>
      <c r="F24" s="245">
        <v>0.623</v>
      </c>
      <c r="G24" s="246">
        <f t="shared" si="0"/>
        <v>0.62300086671582866</v>
      </c>
      <c r="I24" s="241"/>
    </row>
    <row r="25" spans="2:9">
      <c r="B25" s="69"/>
      <c r="E25" s="244">
        <v>0.7</v>
      </c>
      <c r="F25" s="245">
        <v>0.59399999999999997</v>
      </c>
      <c r="G25" s="246">
        <f t="shared" si="0"/>
        <v>0.59420584508420249</v>
      </c>
      <c r="I25" s="241"/>
    </row>
    <row r="26" spans="2:9">
      <c r="B26" s="69"/>
      <c r="E26" s="244">
        <v>0.71</v>
      </c>
      <c r="F26" s="245">
        <v>0.56599999999999995</v>
      </c>
      <c r="G26" s="246">
        <f t="shared" si="0"/>
        <v>0.56583512986144358</v>
      </c>
      <c r="I26" s="241"/>
    </row>
    <row r="27" spans="2:9">
      <c r="B27" s="69"/>
      <c r="E27" s="244">
        <v>0.72</v>
      </c>
      <c r="F27" s="245">
        <v>0.53800000000000003</v>
      </c>
      <c r="G27" s="246">
        <f t="shared" si="0"/>
        <v>0.5378546490247661</v>
      </c>
      <c r="I27" s="241"/>
    </row>
    <row r="28" spans="2:9">
      <c r="B28" s="69"/>
      <c r="E28" s="244">
        <v>0.73</v>
      </c>
      <c r="F28" s="245">
        <v>0.51</v>
      </c>
      <c r="G28" s="246">
        <f t="shared" si="0"/>
        <v>0.51023074960855019</v>
      </c>
      <c r="I28" s="241"/>
    </row>
    <row r="29" spans="2:9">
      <c r="B29" s="69"/>
      <c r="E29" s="244">
        <v>0.74</v>
      </c>
      <c r="F29" s="245">
        <v>0.48299999999999998</v>
      </c>
      <c r="G29" s="246">
        <f t="shared" si="0"/>
        <v>0.48292998498813244</v>
      </c>
      <c r="I29" s="241"/>
    </row>
    <row r="30" spans="2:9">
      <c r="B30" s="69"/>
      <c r="E30" s="244">
        <v>0.75</v>
      </c>
      <c r="F30" s="245">
        <v>0.45600000000000002</v>
      </c>
      <c r="G30" s="246">
        <f t="shared" si="0"/>
        <v>0.45591888755199217</v>
      </c>
      <c r="I30" s="241"/>
    </row>
    <row r="31" spans="2:9">
      <c r="B31" s="69"/>
      <c r="E31" s="244">
        <v>0.76</v>
      </c>
      <c r="F31" s="245">
        <v>0.42899999999999999</v>
      </c>
      <c r="G31" s="246">
        <f t="shared" si="0"/>
        <v>0.42916372119389645</v>
      </c>
      <c r="I31" s="241"/>
    </row>
    <row r="32" spans="2:9">
      <c r="B32" s="69"/>
      <c r="E32" s="244">
        <v>0.77</v>
      </c>
      <c r="F32" s="245">
        <v>0.40300000000000002</v>
      </c>
      <c r="G32" s="246">
        <f t="shared" si="0"/>
        <v>0.40263020677025074</v>
      </c>
      <c r="I32" s="241"/>
    </row>
    <row r="33" spans="2:9">
      <c r="B33" s="69"/>
      <c r="E33" s="244">
        <v>0.78</v>
      </c>
      <c r="F33" s="245">
        <v>0.376</v>
      </c>
      <c r="G33" s="246">
        <f t="shared" si="0"/>
        <v>0.37628321192338565</v>
      </c>
      <c r="I33" s="241"/>
    </row>
    <row r="34" spans="2:9">
      <c r="B34" s="69"/>
      <c r="E34" s="244">
        <v>0.79</v>
      </c>
      <c r="F34" s="245">
        <v>0.35</v>
      </c>
      <c r="G34" s="246">
        <f t="shared" si="0"/>
        <v>0.35008639429262223</v>
      </c>
      <c r="I34" s="241"/>
    </row>
    <row r="35" spans="2:9">
      <c r="B35" s="69"/>
      <c r="E35" s="244">
        <v>0.8</v>
      </c>
      <c r="F35" s="245">
        <v>0.32400000000000001</v>
      </c>
      <c r="G35" s="246">
        <f t="shared" si="0"/>
        <v>0.32400178386379519</v>
      </c>
      <c r="I35" s="241"/>
    </row>
    <row r="36" spans="2:9">
      <c r="B36" s="69"/>
      <c r="E36" s="244">
        <v>0.81</v>
      </c>
      <c r="F36" s="245">
        <v>0.29799999999999999</v>
      </c>
      <c r="G36" s="246">
        <f t="shared" si="0"/>
        <v>0.29798928566111604</v>
      </c>
      <c r="I36" s="241"/>
    </row>
    <row r="37" spans="2:9">
      <c r="B37" s="69"/>
      <c r="E37" s="244">
        <v>0.82</v>
      </c>
      <c r="F37" s="245">
        <v>0.27200000000000002</v>
      </c>
      <c r="G37" s="246">
        <f t="shared" si="0"/>
        <v>0.27200607758351181</v>
      </c>
      <c r="I37" s="241"/>
    </row>
    <row r="38" spans="2:9">
      <c r="B38" s="69"/>
      <c r="E38" s="244">
        <v>0.83</v>
      </c>
      <c r="F38" s="245">
        <v>0.246</v>
      </c>
      <c r="G38" s="246">
        <f t="shared" si="0"/>
        <v>0.2460058690389445</v>
      </c>
      <c r="I38" s="241"/>
    </row>
    <row r="39" spans="2:9">
      <c r="B39" s="69"/>
      <c r="E39" s="244">
        <v>0.84</v>
      </c>
      <c r="F39" s="245">
        <v>0.22</v>
      </c>
      <c r="G39" s="246">
        <f t="shared" si="0"/>
        <v>0.21993797273286841</v>
      </c>
      <c r="I39" s="241"/>
    </row>
    <row r="40" spans="2:9">
      <c r="B40" s="69"/>
      <c r="E40" s="244">
        <v>0.85</v>
      </c>
      <c r="F40" s="245">
        <v>0.19400000000000001</v>
      </c>
      <c r="G40" s="246">
        <f t="shared" si="0"/>
        <v>0.19374612226689769</v>
      </c>
      <c r="I40" s="241"/>
    </row>
    <row r="41" spans="2:9">
      <c r="B41" s="69"/>
      <c r="E41" s="244">
        <v>0.86</v>
      </c>
      <c r="F41" s="245">
        <v>0.16700000000000001</v>
      </c>
      <c r="G41" s="246">
        <f t="shared" si="0"/>
        <v>0.16736693838347316</v>
      </c>
      <c r="I41" s="241"/>
    </row>
    <row r="42" spans="2:9">
      <c r="B42" s="69"/>
      <c r="E42" s="244">
        <v>0.87</v>
      </c>
      <c r="F42" s="245">
        <v>0.14099999999999999</v>
      </c>
      <c r="G42" s="246">
        <f t="shared" si="0"/>
        <v>0.14072790044407346</v>
      </c>
      <c r="I42" s="241"/>
    </row>
    <row r="43" spans="2:9">
      <c r="B43" s="69"/>
      <c r="E43" s="244">
        <v>0.88</v>
      </c>
      <c r="F43" s="245">
        <v>0.114</v>
      </c>
      <c r="G43" s="246">
        <f t="shared" si="0"/>
        <v>0.1137446060018823</v>
      </c>
      <c r="I43" s="241"/>
    </row>
    <row r="44" spans="2:9">
      <c r="B44" s="69"/>
      <c r="E44" s="244">
        <v>0.89</v>
      </c>
      <c r="F44" s="245">
        <v>8.5999999999999993E-2</v>
      </c>
      <c r="G44" s="246">
        <f t="shared" si="0"/>
        <v>8.6316980051570402E-2</v>
      </c>
      <c r="I44" s="241"/>
    </row>
    <row r="45" spans="2:9">
      <c r="B45" s="69"/>
      <c r="E45" s="244">
        <v>0.9</v>
      </c>
      <c r="F45" s="245">
        <v>5.8000000000000003E-2</v>
      </c>
      <c r="G45" s="246">
        <f t="shared" si="0"/>
        <v>5.8323888701647952E-2</v>
      </c>
      <c r="I45" s="241"/>
    </row>
    <row r="46" spans="2:9">
      <c r="B46" s="69"/>
      <c r="E46" s="244">
        <v>0.91</v>
      </c>
      <c r="F46" s="245">
        <v>0.03</v>
      </c>
      <c r="G46" s="246">
        <f t="shared" si="0"/>
        <v>2.9615244119353124E-2</v>
      </c>
      <c r="I46" s="241"/>
    </row>
    <row r="47" spans="2:9" ht="13.5" thickBot="1">
      <c r="B47" s="69"/>
      <c r="E47" s="247">
        <v>0.92</v>
      </c>
      <c r="F47" s="248">
        <v>0</v>
      </c>
      <c r="G47" s="246">
        <f t="shared" si="0"/>
        <v>0</v>
      </c>
      <c r="I47" s="241"/>
    </row>
    <row r="48" spans="2:9">
      <c r="B48" s="69"/>
      <c r="I48" s="241"/>
    </row>
    <row r="49" spans="2:9" ht="13.5" thickBot="1">
      <c r="B49" s="145"/>
      <c r="C49" s="146"/>
      <c r="D49" s="146"/>
      <c r="E49" s="146"/>
      <c r="F49" s="146"/>
      <c r="G49" s="146"/>
      <c r="H49" s="146"/>
      <c r="I49" s="147"/>
    </row>
  </sheetData>
  <mergeCells count="1">
    <mergeCell ref="C2:D2"/>
  </mergeCells>
  <pageMargins left="0.78740157499999996" right="0.78740157499999996" top="0.984251969" bottom="0.984251969" header="0.49212598499999999" footer="0.49212598499999999"/>
  <pageSetup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1974d13-bdb3-490e-8360-c1a65991798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CB1D7D57AAA0E4B90F99F37A1F37B73" ma:contentTypeVersion="13" ma:contentTypeDescription="Crie um novo documento." ma:contentTypeScope="" ma:versionID="034e08006fdd25b24bd60bad0afb6f83">
  <xsd:schema xmlns:xsd="http://www.w3.org/2001/XMLSchema" xmlns:xs="http://www.w3.org/2001/XMLSchema" xmlns:p="http://schemas.microsoft.com/office/2006/metadata/properties" xmlns:ns3="11974d13-bdb3-490e-8360-c1a65991798c" xmlns:ns4="d771439e-f7ec-4b57-afbe-2a7a4c9395d1" targetNamespace="http://schemas.microsoft.com/office/2006/metadata/properties" ma:root="true" ma:fieldsID="a9b15b363754cb8dd2a929d576e5b878" ns3:_="" ns4:_="">
    <xsd:import namespace="11974d13-bdb3-490e-8360-c1a65991798c"/>
    <xsd:import namespace="d771439e-f7ec-4b57-afbe-2a7a4c9395d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74d13-bdb3-490e-8360-c1a6599179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71439e-f7ec-4b57-afbe-2a7a4c9395d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1EF1F5-0750-468B-80A9-DEAEEB426F74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11974d13-bdb3-490e-8360-c1a65991798c"/>
    <ds:schemaRef ds:uri="http://purl.org/dc/terms/"/>
    <ds:schemaRef ds:uri="http://www.w3.org/XML/1998/namespace"/>
    <ds:schemaRef ds:uri="http://schemas.openxmlformats.org/package/2006/metadata/core-properties"/>
    <ds:schemaRef ds:uri="d771439e-f7ec-4b57-afbe-2a7a4c9395d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1A895E4-5C66-416B-B6BA-8B58DE2D51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74d13-bdb3-490e-8360-c1a65991798c"/>
    <ds:schemaRef ds:uri="d771439e-f7ec-4b57-afbe-2a7a4c9395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3B9E02F-8D3C-4F17-87D4-73B98F02C9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</vt:i4>
      </vt:variant>
    </vt:vector>
  </HeadingPairs>
  <TitlesOfParts>
    <vt:vector size="13" baseType="lpstr">
      <vt:lpstr>QUADRO DE CARGAS</vt:lpstr>
      <vt:lpstr>SE AÉREA</vt:lpstr>
      <vt:lpstr>GERAL</vt:lpstr>
      <vt:lpstr>CÁLCULOS</vt:lpstr>
      <vt:lpstr>TAB 02</vt:lpstr>
      <vt:lpstr>TAB 03</vt:lpstr>
      <vt:lpstr>TAB 04</vt:lpstr>
      <vt:lpstr>TAB 19</vt:lpstr>
      <vt:lpstr>TAB 25</vt:lpstr>
      <vt:lpstr>Para Raios</vt:lpstr>
      <vt:lpstr>CÁLCULOS!Area_de_impressao</vt:lpstr>
      <vt:lpstr>'QUADRO DE CARGAS'!Area_de_impressao</vt:lpstr>
      <vt:lpstr>'SE AÉREA'!Area_de_impressao</vt:lpstr>
    </vt:vector>
  </TitlesOfParts>
  <Manager/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Gilberto Teixeira Carrera</dc:creator>
  <cp:keywords/>
  <dc:description/>
  <cp:lastModifiedBy>EQUATORIAL</cp:lastModifiedBy>
  <dcterms:created xsi:type="dcterms:W3CDTF">2014-03-21T19:43:42Z</dcterms:created>
  <dcterms:modified xsi:type="dcterms:W3CDTF">2025-06-23T21:08:27Z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84f6bf-f638-41cc-935f-2157ddac8142_Enabled">
    <vt:lpwstr>true</vt:lpwstr>
  </property>
  <property fmtid="{D5CDD505-2E9C-101B-9397-08002B2CF9AE}" pid="3" name="MSIP_Label_b284f6bf-f638-41cc-935f-2157ddac8142_SetDate">
    <vt:lpwstr>2023-03-10T21:05:51Z</vt:lpwstr>
  </property>
  <property fmtid="{D5CDD505-2E9C-101B-9397-08002B2CF9AE}" pid="4" name="MSIP_Label_b284f6bf-f638-41cc-935f-2157ddac8142_Method">
    <vt:lpwstr>Privileged</vt:lpwstr>
  </property>
  <property fmtid="{D5CDD505-2E9C-101B-9397-08002B2CF9AE}" pid="5" name="MSIP_Label_b284f6bf-f638-41cc-935f-2157ddac8142_Name">
    <vt:lpwstr>b284f6bf-f638-41cc-935f-2157ddac8142</vt:lpwstr>
  </property>
  <property fmtid="{D5CDD505-2E9C-101B-9397-08002B2CF9AE}" pid="6" name="MSIP_Label_b284f6bf-f638-41cc-935f-2157ddac8142_SiteId">
    <vt:lpwstr>d539d4bf-5610-471a-afc2-1c76685cfefa</vt:lpwstr>
  </property>
  <property fmtid="{D5CDD505-2E9C-101B-9397-08002B2CF9AE}" pid="7" name="MSIP_Label_b284f6bf-f638-41cc-935f-2157ddac8142_ActionId">
    <vt:lpwstr>8a60ce28-c5f8-4ddb-9961-78a1b55dffd0</vt:lpwstr>
  </property>
  <property fmtid="{D5CDD505-2E9C-101B-9397-08002B2CF9AE}" pid="8" name="MSIP_Label_b284f6bf-f638-41cc-935f-2157ddac8142_ContentBits">
    <vt:lpwstr>0</vt:lpwstr>
  </property>
  <property fmtid="{D5CDD505-2E9C-101B-9397-08002B2CF9AE}" pid="9" name="ContentTypeId">
    <vt:lpwstr>0x0101008CB1D7D57AAA0E4B90F99F37A1F37B73</vt:lpwstr>
  </property>
</Properties>
</file>