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emf" ContentType="image/x-emf"/>
  <Default Extension="png" ContentType="image/png"/>
  <Default Extension="jpeg" ContentType="image/jpeg"/>
  <Default Extension="wmf" ContentType="image/x-wmf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comments2.xml" ContentType="application/vnd.openxmlformats-officedocument.spreadsheetml.comments+xml"/>
  <Override PartName="/xl/drawings/drawing2.xml" ContentType="application/vnd.openxmlformats-officedocument.drawing+xml"/>
  <Default Extension="vml" ContentType="application/vnd.openxmlformats-officedocument.vmlDrawing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comments5.xml" ContentType="application/vnd.openxmlformats-officedocument.spreadsheetml.comments+xml"/>
  <Override PartName="/xl/ctrProps/ctrProp1.xml" ContentType="application/vnd.ms-excel.controlproperties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ctrProps/ctrProp2.xml" ContentType="application/vnd.ms-excel.controlproperties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comments13.xml" ContentType="application/vnd.openxmlformats-officedocument.spreadsheetml.comments+xml"/>
  <Override PartName="/xl/ctrProps/ctrProp3.xml" ContentType="application/vnd.ms-excel.controlproperties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U11229\Downloads\u11229\Desktop\AT SE SUIT\2025\DEZEMBRO\NT.00004 - FELIPE\"/>
    </mc:Choice>
  </mc:AlternateContent>
  <bookViews>
    <workbookView xWindow="0" yWindow="0" windowWidth="23040" windowHeight="9090" tabRatio="826" firstSheet="2" activeTab="3"/>
  </bookViews>
  <sheets>
    <sheet name="Capa" sheetId="1" state="hidden" r:id="rId3"/>
    <sheet name="BT" sheetId="2" state="hidden" r:id="rId4"/>
    <sheet name="REVISÃO" sheetId="22" r:id="rId5"/>
    <sheet name="MENU" sheetId="13" r:id="rId6"/>
    <sheet name="BT-MX (LOTEAMENTO)" sheetId="3" r:id="rId7"/>
    <sheet name="Características dos Cabos M Lot" sheetId="20" state="hidden" r:id="rId8"/>
    <sheet name="Características dos Cabos" sheetId="6" state="hidden" r:id="rId9"/>
    <sheet name="K% (Rede Convencional)" sheetId="5" state="hidden" r:id="rId10"/>
    <sheet name="BT-MX (CONDOMINIO HORIZONTAL)" sheetId="14" r:id="rId11"/>
    <sheet name="mT" sheetId="4" state="hidden" r:id="rId12"/>
    <sheet name="Características dos Cabos MX CH" sheetId="7" state="hidden" r:id="rId13"/>
    <sheet name="K% (Rede Convencional) (2)" sheetId="17" state="hidden" r:id="rId14"/>
    <sheet name="EXEMPLO" sheetId="16" r:id="rId15"/>
    <sheet name="Características dos Cabos M EX" sheetId="21" state="hidden" r:id="rId16"/>
    <sheet name="e.e." sheetId="8" state="hidden" r:id="rId17"/>
    <sheet name="Fórmulas" sheetId="9" state="hidden" r:id="rId18"/>
    <sheet name="Sheet2" sheetId="11" state="hidden" r:id="rId19"/>
  </sheets>
  <definedNames>
    <definedName name="_xlnm.Print_Area" localSheetId="1">BT!$A$1:$V$194</definedName>
    <definedName name="_xlnm.Print_Area" localSheetId="8">'BT-MX (CONDOMINIO HORIZONTAL)'!$A$1:$AG$195</definedName>
    <definedName name="_xlnm.Print_Area" localSheetId="4">'BT-MX (LOTEAMENTO)'!$A$1:$AG$195</definedName>
    <definedName name="_xlnm.Print_Area" localSheetId="0">Capa!$A$1:$Q$43</definedName>
    <definedName name="_xlnm.Print_Area" localSheetId="6">'Características dos Cabos'!$A$1:$L$30</definedName>
    <definedName name="_xlnm.Print_Area" localSheetId="13">'Características dos Cabos M EX'!$A$1:$M$27</definedName>
    <definedName name="_xlnm.Print_Area" localSheetId="5">'Características dos Cabos M Lot'!$A$1:$M$27</definedName>
    <definedName name="_xlnm.Print_Area" localSheetId="10">'Características dos Cabos MX CH'!$A$1:$M$27</definedName>
    <definedName name="_xlnm.Print_Area" localSheetId="14">e.e.!$A$1:$O$45</definedName>
    <definedName name="_xlnm.Print_Area" localSheetId="12">EXEMPLO!$A$1:$Y$195</definedName>
    <definedName name="_xlnm.Print_Area" localSheetId="15">Fórmulas!$A$1:$N$27</definedName>
    <definedName name="_xlnm.Print_Area" localSheetId="7">'K% (Rede Convencional)'!$A$1:$M$30</definedName>
    <definedName name="_xlnm.Print_Area" localSheetId="11">'K% (Rede Convencional) (2)'!$A$1:$M$30</definedName>
    <definedName name="_xlnm.Print_Area" localSheetId="9">mT!$A$1:$AA$76</definedName>
    <definedName name="condutores" localSheetId="8">#REF!</definedName>
    <definedName name="condutores" localSheetId="13">#REF!</definedName>
    <definedName name="condutores" localSheetId="5">#REF!</definedName>
    <definedName name="condutores" localSheetId="12">#REF!</definedName>
    <definedName name="condutores" localSheetId="11">#REF!</definedName>
    <definedName name="condutores">#REF!</definedName>
    <definedName name="Descrição">Sheet2!$A$1:$C$1</definedName>
    <definedName name="Duplex">Sheet2!$A$2:$A$4</definedName>
    <definedName name="EXEMPLO" localSheetId="13">#REF!</definedName>
    <definedName name="EXEMPLO" localSheetId="5">#REF!</definedName>
    <definedName name="EXEMPLO" localSheetId="11">#REF!</definedName>
    <definedName name="EXEMPLO">#REF!</definedName>
    <definedName name="Impedancia_sistema" localSheetId="8">#REF!</definedName>
    <definedName name="Impedancia_sistema" localSheetId="13">#REF!</definedName>
    <definedName name="Impedancia_sistema" localSheetId="5">#REF!</definedName>
    <definedName name="Impedancia_sistema" localSheetId="12">#REF!</definedName>
    <definedName name="Impedancia_sistema" localSheetId="11">#REF!</definedName>
    <definedName name="Impedancia_sistema">#REF!</definedName>
    <definedName name="Quadruplex">Sheet2!$C$2:$C$8</definedName>
    <definedName name="Sistema" localSheetId="8">#REF!</definedName>
    <definedName name="Sistema" localSheetId="13">#REF!</definedName>
    <definedName name="Sistema" localSheetId="5">#REF!</definedName>
    <definedName name="Sistema" localSheetId="12">#REF!</definedName>
    <definedName name="Sistema" localSheetId="11">#REF!</definedName>
    <definedName name="Sistema">#REF!</definedName>
    <definedName name="_xlnm.Print_Titles" localSheetId="1">BT!$1:$19</definedName>
    <definedName name="_xlnm.Print_Titles" localSheetId="8">'BT-MX (CONDOMINIO HORIZONTAL)'!$1:$18</definedName>
    <definedName name="_xlnm.Print_Titles" localSheetId="4">'BT-MX (LOTEAMENTO)'!$1:$18</definedName>
    <definedName name="_xlnm.Print_Titles" localSheetId="12">EXEMPLO!$1:$18</definedName>
    <definedName name="_xlnm.Print_Titles" localSheetId="9">mT!$1:$19</definedName>
    <definedName name="Triplex">Sheet2!$B$2:$B$7</definedName>
    <definedName name="Z_ADCFDDAA_AF71_42CE_8FD7_7ABB67CB940B_.wvu.Cols" localSheetId="1" hidden="1">BT!$F:$F,BT!$I:$I,BT!$M:$N,BT!$S:$S,BT!$U:$U,BT!$W:$AH</definedName>
    <definedName name="Z_ADCFDDAA_AF71_42CE_8FD7_7ABB67CB940B_.wvu.Cols" localSheetId="8" hidden="1">'BT-MX (CONDOMINIO HORIZONTAL)'!$F:$F,'BT-MX (CONDOMINIO HORIZONTAL)'!$I:$I,'BT-MX (CONDOMINIO HORIZONTAL)'!$M:$M,'BT-MX (CONDOMINIO HORIZONTAL)'!$R:$S,'BT-MX (CONDOMINIO HORIZONTAL)'!$U:$X,'BT-MX (CONDOMINIO HORIZONTAL)'!$Z:$AV</definedName>
    <definedName name="Z_ADCFDDAA_AF71_42CE_8FD7_7ABB67CB940B_.wvu.Cols" localSheetId="4" hidden="1">'BT-MX (LOTEAMENTO)'!$F:$F,'BT-MX (LOTEAMENTO)'!$I:$I,'BT-MX (LOTEAMENTO)'!$M:$M,'BT-MX (LOTEAMENTO)'!$R:$S,'BT-MX (LOTEAMENTO)'!$U:$X,'BT-MX (LOTEAMENTO)'!$Z:$AV</definedName>
    <definedName name="Z_ADCFDDAA_AF71_42CE_8FD7_7ABB67CB940B_.wvu.Cols" localSheetId="6" hidden="1">'Características dos Cabos'!$D:$D</definedName>
    <definedName name="Z_ADCFDDAA_AF71_42CE_8FD7_7ABB67CB940B_.wvu.Cols" localSheetId="13" hidden="1">'Características dos Cabos M EX'!$C:$C</definedName>
    <definedName name="Z_ADCFDDAA_AF71_42CE_8FD7_7ABB67CB940B_.wvu.Cols" localSheetId="5" hidden="1">'Características dos Cabos M Lot'!$C:$C</definedName>
    <definedName name="Z_ADCFDDAA_AF71_42CE_8FD7_7ABB67CB940B_.wvu.Cols" localSheetId="10" hidden="1">'Características dos Cabos MX CH'!$C:$C</definedName>
    <definedName name="Z_ADCFDDAA_AF71_42CE_8FD7_7ABB67CB940B_.wvu.Cols" localSheetId="12" hidden="1">EXEMPLO!$F:$F,EXEMPLO!$I:$I,EXEMPLO!$M:$M,EXEMPLO!$R:$S,EXEMPLO!$U:$X,EXEMPLO!$Z:$AV</definedName>
    <definedName name="Z_ADCFDDAA_AF71_42CE_8FD7_7ABB67CB940B_.wvu.Cols" localSheetId="7" hidden="1">'K% (Rede Convencional)'!$B:$B</definedName>
    <definedName name="Z_ADCFDDAA_AF71_42CE_8FD7_7ABB67CB940B_.wvu.Cols" localSheetId="11" hidden="1">'K% (Rede Convencional) (2)'!$B:$B</definedName>
    <definedName name="Z_ADCFDDAA_AF71_42CE_8FD7_7ABB67CB940B_.wvu.Cols" localSheetId="9" hidden="1">mT!$F:$F,mT!$I:$J,mT!$N:$O,mT!$T:$V,mT!$X:$Z,mT!$AB:$AK</definedName>
    <definedName name="Z_ADCFDDAA_AF71_42CE_8FD7_7ABB67CB940B_.wvu.PrintArea" localSheetId="1" hidden="1">BT!$A$1:$V$194</definedName>
    <definedName name="Z_ADCFDDAA_AF71_42CE_8FD7_7ABB67CB940B_.wvu.PrintArea" localSheetId="8" hidden="1">'BT-MX (CONDOMINIO HORIZONTAL)'!$A$1:$Y$195</definedName>
    <definedName name="Z_ADCFDDAA_AF71_42CE_8FD7_7ABB67CB940B_.wvu.PrintArea" localSheetId="4" hidden="1">'BT-MX (LOTEAMENTO)'!$A$1:$Y$195</definedName>
    <definedName name="Z_ADCFDDAA_AF71_42CE_8FD7_7ABB67CB940B_.wvu.PrintArea" localSheetId="0" hidden="1">Capa!$A$1:$Q$43</definedName>
    <definedName name="Z_ADCFDDAA_AF71_42CE_8FD7_7ABB67CB940B_.wvu.PrintArea" localSheetId="6" hidden="1">'Características dos Cabos'!$A$1:$L$30</definedName>
    <definedName name="Z_ADCFDDAA_AF71_42CE_8FD7_7ABB67CB940B_.wvu.PrintArea" localSheetId="13" hidden="1">'Características dos Cabos M EX'!$A$1:$L$27</definedName>
    <definedName name="Z_ADCFDDAA_AF71_42CE_8FD7_7ABB67CB940B_.wvu.PrintArea" localSheetId="5" hidden="1">'Características dos Cabos M Lot'!$A$1:$L$27</definedName>
    <definedName name="Z_ADCFDDAA_AF71_42CE_8FD7_7ABB67CB940B_.wvu.PrintArea" localSheetId="10" hidden="1">'Características dos Cabos MX CH'!$A$1:$L$27</definedName>
    <definedName name="Z_ADCFDDAA_AF71_42CE_8FD7_7ABB67CB940B_.wvu.PrintArea" localSheetId="14" hidden="1">e.e.!$A$1:$O$45</definedName>
    <definedName name="Z_ADCFDDAA_AF71_42CE_8FD7_7ABB67CB940B_.wvu.PrintArea" localSheetId="12" hidden="1">EXEMPLO!$A$1:$Y$195</definedName>
    <definedName name="Z_ADCFDDAA_AF71_42CE_8FD7_7ABB67CB940B_.wvu.PrintArea" localSheetId="15" hidden="1">Fórmulas!$A$1:$N$27</definedName>
    <definedName name="Z_ADCFDDAA_AF71_42CE_8FD7_7ABB67CB940B_.wvu.PrintArea" localSheetId="7" hidden="1">'K% (Rede Convencional)'!$A$1:$M$30</definedName>
    <definedName name="Z_ADCFDDAA_AF71_42CE_8FD7_7ABB67CB940B_.wvu.PrintArea" localSheetId="11" hidden="1">'K% (Rede Convencional) (2)'!$A$1:$M$30</definedName>
    <definedName name="Z_ADCFDDAA_AF71_42CE_8FD7_7ABB67CB940B_.wvu.PrintArea" localSheetId="9" hidden="1">mT!$A$1:$AA$76</definedName>
    <definedName name="Z_ADCFDDAA_AF71_42CE_8FD7_7ABB67CB940B_.wvu.PrintTitles" localSheetId="1" hidden="1">BT!$1:$19</definedName>
    <definedName name="Z_ADCFDDAA_AF71_42CE_8FD7_7ABB67CB940B_.wvu.PrintTitles" localSheetId="8" hidden="1">'BT-MX (CONDOMINIO HORIZONTAL)'!$1:$18</definedName>
    <definedName name="Z_ADCFDDAA_AF71_42CE_8FD7_7ABB67CB940B_.wvu.PrintTitles" localSheetId="4" hidden="1">'BT-MX (LOTEAMENTO)'!$1:$18</definedName>
    <definedName name="Z_ADCFDDAA_AF71_42CE_8FD7_7ABB67CB940B_.wvu.PrintTitles" localSheetId="12" hidden="1">EXEMPLO!$1:$18</definedName>
    <definedName name="Z_ADCFDDAA_AF71_42CE_8FD7_7ABB67CB940B_.wvu.PrintTitles" localSheetId="9" hidden="1">mT!$1:$19</definedName>
  </definedNames>
  <calcPr calcId="162913"/>
  <customWorkbookViews>
    <customWorkbookView name="Carlos Henrique Da Silva Vieira - Modo de exibição pessoal" guid="{adcfddaa-af71-42ce-8fd7-7abb67cb940b}" activeSheetId="1" xWindow="240" yWindow="120" windowWidth="1276" windowHeight="585" mergeInterval="0" personalView="1" maximized="1" tabRatio="82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5" l="1"/>
</calcChain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suporte tecnico</author>
  </authors>
  <commentList>
    <comment ref="H18" authorId="0">
      <text>
        <r>
          <rPr>
            <b/>
            <sz val="10"/>
            <rFont val="Tahoma"/>
            <family val="2"/>
          </rPr>
          <t>Carga Acumulada 
após 10 anos de 
crescimento vegetativo</t>
        </r>
      </text>
    </comment>
    <comment ref="I18" authorId="0">
      <text>
        <r>
          <rPr>
            <b/>
            <sz val="10"/>
            <rFont val="Tahoma"/>
            <family val="2"/>
          </rPr>
          <t>Coeficiente
Percentual 
de Perdas</t>
        </r>
      </text>
    </comment>
    <comment ref="J18" authorId="0">
      <text>
        <r>
          <rPr>
            <b/>
            <sz val="10"/>
            <rFont val="Tahoma"/>
            <family val="2"/>
          </rPr>
          <t>Coeficiente
Percentual 
de Perdas</t>
        </r>
      </text>
    </comment>
    <comment ref="K18" authorId="0">
      <text>
        <r>
          <rPr>
            <b/>
            <sz val="10"/>
            <rFont val="Tahoma"/>
            <family val="2"/>
          </rPr>
          <t>Coeficiente
Percentual 
de Perdas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Equatorial</author>
    <author>*</author>
    <author>suporte tecnico</author>
  </authors>
  <commentList>
    <comment ref="G11" authorId="0">
      <text>
        <r>
          <rPr>
            <b/>
            <sz val="9"/>
            <rFont val="Segoe UI"/>
            <family val="2"/>
          </rPr>
          <t>Equatorial:</t>
        </r>
        <r>
          <rPr>
            <sz val="9"/>
            <rFont val="Segoe UI"/>
            <family val="2"/>
          </rPr>
          <t xml:space="preserve">
SÓ PREENCHER NO CASO DEMANDA PARA CONDOMINIOS FECHADOS E  ABERTOS DE CASAS, CASO NÃO, MANTER CÉLULA EM ZERO</t>
        </r>
      </text>
    </comment>
    <comment ref="H12" authorId="1">
      <text>
        <r>
          <rPr>
            <sz val="12"/>
            <rFont val="Tahoma"/>
            <family val="2"/>
          </rPr>
          <t>Neste campo deverá ser informado o período de ocorrência da demanda máxima no transformador.</t>
        </r>
        <r>
          <rPr>
            <sz val="8"/>
            <rFont val="Tahoma"/>
            <family val="2"/>
          </rPr>
          <t xml:space="preserve">
</t>
        </r>
        <r>
          <rPr>
            <b/>
            <sz val="12"/>
            <rFont val="Tahoma"/>
            <family val="2"/>
          </rPr>
          <t>D para diurno
N para noturno</t>
        </r>
        <r>
          <rPr>
            <sz val="8"/>
            <rFont val="Tahoma"/>
            <family val="2"/>
          </rPr>
          <t xml:space="preserve">
</t>
        </r>
      </text>
    </comment>
    <comment ref="L17" authorId="2">
      <text>
        <r>
          <rPr>
            <b/>
            <sz val="10"/>
            <rFont val="Tahoma"/>
            <family val="2"/>
          </rPr>
          <t>Coeficiente de queda de tensão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*</author>
    <author>suporte tecnico</author>
  </authors>
  <commentList>
    <comment ref="H13" authorId="0">
      <text>
        <r>
          <rPr>
            <sz val="12"/>
            <rFont val="Tahoma"/>
            <family val="2"/>
          </rPr>
          <t>Neste campo deverá ser informado o período de ocorrência da demanda máxima no transformador.</t>
        </r>
        <r>
          <rPr>
            <sz val="8"/>
            <rFont val="Tahoma"/>
            <family val="2"/>
          </rPr>
          <t xml:space="preserve">
</t>
        </r>
        <r>
          <rPr>
            <b/>
            <sz val="12"/>
            <rFont val="Tahoma"/>
            <family val="2"/>
          </rPr>
          <t>D para diurno
N para noturno</t>
        </r>
        <r>
          <rPr>
            <sz val="8"/>
            <rFont val="Tahoma"/>
            <family val="2"/>
          </rPr>
          <t xml:space="preserve">
</t>
        </r>
      </text>
    </comment>
    <comment ref="L18" authorId="1">
      <text>
        <r>
          <rPr>
            <b/>
            <sz val="10"/>
            <rFont val="Tahoma"/>
            <family val="2"/>
          </rPr>
          <t>Coeficiente
Percentual 
de Perdas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Equatorial</author>
    <author>*</author>
    <author>suporte tecnico</author>
  </authors>
  <commentList>
    <comment ref="D11" authorId="0">
      <text>
        <r>
          <rPr>
            <b/>
            <sz val="9"/>
            <rFont val="Segoe UI"/>
            <family val="2"/>
          </rPr>
          <t>Equatorial:</t>
        </r>
        <r>
          <rPr>
            <sz val="9"/>
            <rFont val="Segoe UI"/>
            <family val="2"/>
          </rPr>
          <t xml:space="preserve">
SÓ PREENCHER CASO DE DEMANDA PARA LOTEAMENTO</t>
        </r>
      </text>
    </comment>
    <comment ref="H12" authorId="1">
      <text>
        <r>
          <rPr>
            <sz val="12"/>
            <rFont val="Tahoma"/>
            <family val="2"/>
          </rPr>
          <t>Neste campo deverá ser informado o período de ocorrência da demanda máxima no transformador.</t>
        </r>
        <r>
          <rPr>
            <sz val="8"/>
            <rFont val="Tahoma"/>
            <family val="2"/>
          </rPr>
          <t xml:space="preserve">
</t>
        </r>
        <r>
          <rPr>
            <b/>
            <sz val="12"/>
            <rFont val="Tahoma"/>
            <family val="2"/>
          </rPr>
          <t>D para diurno
N para noturno</t>
        </r>
        <r>
          <rPr>
            <sz val="8"/>
            <rFont val="Tahoma"/>
            <family val="2"/>
          </rPr>
          <t xml:space="preserve">
</t>
        </r>
      </text>
    </comment>
    <comment ref="L17" authorId="2">
      <text>
        <r>
          <rPr>
            <b/>
            <sz val="10"/>
            <rFont val="Tahoma"/>
            <family val="2"/>
          </rPr>
          <t>Coeficiente de queda de tensão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Equatorial</author>
    <author>*</author>
    <author>suporte tecnico</author>
  </authors>
  <commentList>
    <comment ref="G11" authorId="0">
      <text>
        <r>
          <rPr>
            <b/>
            <sz val="9"/>
            <rFont val="Segoe UI"/>
            <family val="2"/>
          </rPr>
          <t>Equatorial:</t>
        </r>
        <r>
          <rPr>
            <sz val="9"/>
            <rFont val="Segoe UI"/>
            <family val="2"/>
          </rPr>
          <t xml:space="preserve">
SÓ PREENCHER NO CASO DEMANDA PARA CONDOMINIOS FECHADOS E  ABERTOS DE CASAS, CASO NÃO, MANTER CÉLULA EM ZERO</t>
        </r>
      </text>
    </comment>
    <comment ref="H12" authorId="1">
      <text>
        <r>
          <rPr>
            <sz val="12"/>
            <rFont val="Tahoma"/>
            <family val="2"/>
          </rPr>
          <t>Neste campo deverá ser informado o período de ocorrência da demanda máxima no transformador.</t>
        </r>
        <r>
          <rPr>
            <sz val="8"/>
            <rFont val="Tahoma"/>
            <family val="2"/>
          </rPr>
          <t xml:space="preserve">
</t>
        </r>
        <r>
          <rPr>
            <b/>
            <sz val="12"/>
            <rFont val="Tahoma"/>
            <family val="2"/>
          </rPr>
          <t>D para diurno
N para noturno</t>
        </r>
        <r>
          <rPr>
            <sz val="8"/>
            <rFont val="Tahoma"/>
            <family val="2"/>
          </rPr>
          <t xml:space="preserve">
</t>
        </r>
      </text>
    </comment>
    <comment ref="L17" authorId="2">
      <text>
        <r>
          <rPr>
            <b/>
            <sz val="10"/>
            <rFont val="Tahoma"/>
            <family val="2"/>
          </rPr>
          <t>Coeficiente de queda de tensão</t>
        </r>
      </text>
    </comment>
  </commentList>
</comments>
</file>

<file path=xl/sharedStrings.xml><?xml version="1.0" encoding="utf-8"?>
<sst xmlns="http://schemas.openxmlformats.org/spreadsheetml/2006/main" count="1070" uniqueCount="324">
  <si>
    <t>NORMA E PADRÕES</t>
  </si>
  <si>
    <t>CRITÉRIO DE PROJETOS DE REDES DE DISTRIBUIÇÃO</t>
  </si>
  <si>
    <t>ANEXO - DIMENSIONAMENTO DE REDES DE DISTRIBUIÇÃO DE BT MULTIPLEXADA</t>
  </si>
  <si>
    <t>NORMAS E PADRÕES - EMISSÃO 00 22/10/2014</t>
  </si>
  <si>
    <t>CRITÉRIO DE PROJETOS DE REDE DE DISTRIBUIÇÃO</t>
  </si>
  <si>
    <t>Relatório de Rede Secundária Convencional de Distribuição</t>
  </si>
  <si>
    <t>Empresa:</t>
  </si>
  <si>
    <t>Projeto:</t>
  </si>
  <si>
    <t>Proprietário:</t>
  </si>
  <si>
    <t xml:space="preserve">Autor: </t>
  </si>
  <si>
    <t xml:space="preserve">CREA: </t>
  </si>
  <si>
    <t>Local e Data:</t>
  </si>
  <si>
    <t>Rede Secundária</t>
  </si>
  <si>
    <t>kVA / Consumidor Tradicional</t>
  </si>
  <si>
    <t>Fator de crescimento%</t>
  </si>
  <si>
    <t>Fator de Perdas</t>
  </si>
  <si>
    <t xml:space="preserve">Perdas/Demandada </t>
  </si>
  <si>
    <t>Maior Carregamento</t>
  </si>
  <si>
    <t>Maior queda acumulada</t>
  </si>
  <si>
    <t>%</t>
  </si>
  <si>
    <t>Derivadas do 3Ø</t>
  </si>
  <si>
    <t>Fator de Potência</t>
  </si>
  <si>
    <t>Carga pesada (D/N)</t>
  </si>
  <si>
    <t>Perdas Totais kWh/ano</t>
  </si>
  <si>
    <t>Demanda Total kVA 5º ano</t>
  </si>
  <si>
    <t>Ao ponto</t>
  </si>
  <si>
    <t>Diurno</t>
  </si>
  <si>
    <t>Noturno</t>
  </si>
  <si>
    <t>Tensão</t>
  </si>
  <si>
    <t>Cabo</t>
  </si>
  <si>
    <t>Monofásicas</t>
  </si>
  <si>
    <t>Fator de Carga</t>
  </si>
  <si>
    <t>Horizonte de estudo</t>
  </si>
  <si>
    <t>Demanda Total kVA</t>
  </si>
  <si>
    <t>Trafo a ser utilizado</t>
  </si>
  <si>
    <t>Maior comprimento do tronco</t>
  </si>
  <si>
    <t>anos</t>
  </si>
  <si>
    <t>kVA</t>
  </si>
  <si>
    <t>m</t>
  </si>
  <si>
    <t>Trecho</t>
  </si>
  <si>
    <t>Nº       Consumidores Tradicionais</t>
  </si>
  <si>
    <t>Cargas Especiais (kVA)</t>
  </si>
  <si>
    <t>Carga Acumulada kVA</t>
  </si>
  <si>
    <t>Configuração da Rede</t>
  </si>
  <si>
    <t>Condutor Fase (Neutro)</t>
  </si>
  <si>
    <t>K%</t>
  </si>
  <si>
    <t>Comprimento do Trecho            m</t>
  </si>
  <si>
    <t>Queda de Tensão %    no Trecho</t>
  </si>
  <si>
    <t>Queda de Tensão % Acumulada</t>
  </si>
  <si>
    <t>Corrente   (Ampères)</t>
  </si>
  <si>
    <t>Corrente Máxima Admitida</t>
  </si>
  <si>
    <t>Carregamento %</t>
  </si>
  <si>
    <t>Ohm/km</t>
  </si>
  <si>
    <t>Perdas no trecho kWh/ano</t>
  </si>
  <si>
    <t xml:space="preserve">Do ponto </t>
  </si>
  <si>
    <t>Ao Ponto</t>
  </si>
  <si>
    <t>Comprimento</t>
  </si>
  <si>
    <t xml:space="preserve">kVA 5º ano </t>
  </si>
  <si>
    <t>4 (4)</t>
  </si>
  <si>
    <t>a</t>
  </si>
  <si>
    <t>4</t>
  </si>
  <si>
    <t>Tronco</t>
  </si>
  <si>
    <t>Lado A</t>
  </si>
  <si>
    <t>Saída do TRAFO</t>
  </si>
  <si>
    <t>-------------</t>
  </si>
  <si>
    <t>----------------</t>
  </si>
  <si>
    <t>------------</t>
  </si>
  <si>
    <t>---------------</t>
  </si>
  <si>
    <t>--------------</t>
  </si>
  <si>
    <t>2</t>
  </si>
  <si>
    <t>b</t>
  </si>
  <si>
    <t>Saída</t>
  </si>
  <si>
    <t>2 (4)</t>
  </si>
  <si>
    <t>1/0</t>
  </si>
  <si>
    <t>d</t>
  </si>
  <si>
    <t>2 (2)</t>
  </si>
  <si>
    <t>c</t>
  </si>
  <si>
    <t>4/0</t>
  </si>
  <si>
    <t>f</t>
  </si>
  <si>
    <t>336,4</t>
  </si>
  <si>
    <t>i</t>
  </si>
  <si>
    <t>1/0 (4)</t>
  </si>
  <si>
    <t>1/0 (2)</t>
  </si>
  <si>
    <t>e</t>
  </si>
  <si>
    <t>4/0 (4)</t>
  </si>
  <si>
    <t>4/0 (2)</t>
  </si>
  <si>
    <t>g</t>
  </si>
  <si>
    <t>4/0 (1/0)</t>
  </si>
  <si>
    <t>h</t>
  </si>
  <si>
    <t>336,4 (4)</t>
  </si>
  <si>
    <t>Lado B</t>
  </si>
  <si>
    <t>336,4 (2)</t>
  </si>
  <si>
    <t>j</t>
  </si>
  <si>
    <t>336,4 (1/0)</t>
  </si>
  <si>
    <t>l</t>
  </si>
  <si>
    <t>336,4 (4/0)</t>
  </si>
  <si>
    <t>Ramais</t>
  </si>
  <si>
    <t>Procedimentos para preeenchimento</t>
  </si>
  <si>
    <t>A planilha é utilizada para cálculo de queda de tensão</t>
  </si>
  <si>
    <t>A planilha tem capacidade para preenchimento de até dois troncos (lado A e lado B) e no máximo 15 ramais, onde cada tronco e cada ramal devem ser preenchidos separadamente em seus respectivos campos</t>
  </si>
  <si>
    <t>O critério de queda de tensão máxima acumulada não deve ultrapassar 5%</t>
  </si>
  <si>
    <t>Relatório de Rede Secundária Multiplexada de Distribuição</t>
  </si>
  <si>
    <t>CREA:</t>
  </si>
  <si>
    <t>Demanda individual diversificada (kVA) - Loteamentos</t>
  </si>
  <si>
    <t xml:space="preserve"> Cabo (PE ou XLPE?)</t>
  </si>
  <si>
    <t>Área Lote (m²)</t>
  </si>
  <si>
    <t>Trifásicas</t>
  </si>
  <si>
    <t>Carga Pesada</t>
  </si>
  <si>
    <t>D</t>
  </si>
  <si>
    <t>N</t>
  </si>
  <si>
    <t>Cargas Especiais kVA</t>
  </si>
  <si>
    <t>K%
(kVA x m)</t>
  </si>
  <si>
    <t>Comprimento do Trecho                  m</t>
  </si>
  <si>
    <t>Queda de Tensão %      no Trecho</t>
  </si>
  <si>
    <t>Corrente Máxima PE</t>
  </si>
  <si>
    <t>Corrente Máxima XLPE</t>
  </si>
  <si>
    <t>Carregamento</t>
  </si>
  <si>
    <t>Ohm/km PE</t>
  </si>
  <si>
    <t>Perdas no trecho PE</t>
  </si>
  <si>
    <t>Perdas no trecho XLPE</t>
  </si>
  <si>
    <t>Perdas no Trecho kWh/ano</t>
  </si>
  <si>
    <t>XLPE</t>
  </si>
  <si>
    <t>-------------------</t>
  </si>
  <si>
    <t>------------------</t>
  </si>
  <si>
    <t>6</t>
  </si>
  <si>
    <t>Área do terreno (m²)</t>
  </si>
  <si>
    <t>Demanda individual diversificada (kVA)</t>
  </si>
  <si>
    <t>.</t>
  </si>
  <si>
    <t>Características Físicas e Elétricas de Condutores  Multiplex</t>
  </si>
  <si>
    <t>Descrição      do               Cabo</t>
  </si>
  <si>
    <t>Formação e Seção (Fase-Neutro)      em mm</t>
  </si>
  <si>
    <t>Resistência (Ohm/km)</t>
  </si>
  <si>
    <t>Retância Indutiva (Ohm/km)</t>
  </si>
  <si>
    <t>Corrente Máxima Admitida (A)</t>
  </si>
  <si>
    <t>K% para m x kVA</t>
  </si>
  <si>
    <t>PE</t>
  </si>
  <si>
    <t>DUPLEX</t>
  </si>
  <si>
    <t>1 x 10 + 1 x 10</t>
  </si>
  <si>
    <t>1 x 16 + 1 x 16</t>
  </si>
  <si>
    <t>1 x 25 + 1 x 25</t>
  </si>
  <si>
    <t>TRIPLEX</t>
  </si>
  <si>
    <t>2 x 10 + 1 x 10</t>
  </si>
  <si>
    <t>2 x 16 + 1 x 16</t>
  </si>
  <si>
    <t>2 x 25 + 1 x 25</t>
  </si>
  <si>
    <t>2 x 35 + 1 x 35</t>
  </si>
  <si>
    <t>2 x 50 + 1 x 50</t>
  </si>
  <si>
    <t>2 x 70 + 1 x 70</t>
  </si>
  <si>
    <t>QUADRUPLEX</t>
  </si>
  <si>
    <t>3 x 10 + 1 x 10</t>
  </si>
  <si>
    <t>3 x 16 + 1 x 16</t>
  </si>
  <si>
    <t>3 x 25 + 1 x 25</t>
  </si>
  <si>
    <t>3 x 35 + 1 x 35</t>
  </si>
  <si>
    <t>3 x 50 + 1 x 50</t>
  </si>
  <si>
    <t>3 x 70 + 1 x 70</t>
  </si>
  <si>
    <t>3 x 120 + 1 x 70</t>
  </si>
  <si>
    <t>Características Físicas e Elétricas de Condutores de Alumínio</t>
  </si>
  <si>
    <t>Alumínio com Alma de Aço - CAA</t>
  </si>
  <si>
    <t>Código</t>
  </si>
  <si>
    <t>Condutor AWG/MCM</t>
  </si>
  <si>
    <t xml:space="preserve">Formação Nº de Fios </t>
  </si>
  <si>
    <t xml:space="preserve">Peso Nominal (kg/m) </t>
  </si>
  <si>
    <t>Resistência  70º - 60 Hz  (Ohm)/km</t>
  </si>
  <si>
    <t>Reatância Indutiva (Ohm)/km</t>
  </si>
  <si>
    <t>Corrente Admissível (A)</t>
  </si>
  <si>
    <t>AWG/MCM</t>
  </si>
  <si>
    <t>Nº de Fios</t>
  </si>
  <si>
    <t>e=1,693m</t>
  </si>
  <si>
    <t>e=1,322m</t>
  </si>
  <si>
    <t>e=0,800m</t>
  </si>
  <si>
    <t>SWAN</t>
  </si>
  <si>
    <t>6(1)</t>
  </si>
  <si>
    <t>SPARROW</t>
  </si>
  <si>
    <t>RAVEN</t>
  </si>
  <si>
    <t>PENGUIN</t>
  </si>
  <si>
    <t>LINNET</t>
  </si>
  <si>
    <t>26(7)</t>
  </si>
  <si>
    <t>Alumínio Simples - CA</t>
  </si>
  <si>
    <t>e=0,252m</t>
  </si>
  <si>
    <t>e=0,200m</t>
  </si>
  <si>
    <t>ROSE</t>
  </si>
  <si>
    <t>IRIS</t>
  </si>
  <si>
    <t>POPPY</t>
  </si>
  <si>
    <t>OXLIP</t>
  </si>
  <si>
    <t>TULIP</t>
  </si>
  <si>
    <t>Coeficiente de Queda de Tensão</t>
  </si>
  <si>
    <t>Redes Primárias (k% x km x MVA)</t>
  </si>
  <si>
    <t>Redes Secundárias (k% x m x kVA)</t>
  </si>
  <si>
    <t>KV=</t>
  </si>
  <si>
    <t>Tensão (V)=</t>
  </si>
  <si>
    <t>COSØ=</t>
  </si>
  <si>
    <t>Ângulo=</t>
  </si>
  <si>
    <t>*Tensão entre fases</t>
  </si>
  <si>
    <t xml:space="preserve">CABO CAA </t>
  </si>
  <si>
    <t>CABO CA</t>
  </si>
  <si>
    <t xml:space="preserve">   AWG ou MCM</t>
  </si>
  <si>
    <t>e = 1,322m</t>
  </si>
  <si>
    <t>e = 1,693m</t>
  </si>
  <si>
    <t>e = 0,800m</t>
  </si>
  <si>
    <t>e = 0,252m</t>
  </si>
  <si>
    <t>e = 0,200m</t>
  </si>
  <si>
    <t>3F</t>
  </si>
  <si>
    <t>2F + N</t>
  </si>
  <si>
    <t>1F + N</t>
  </si>
  <si>
    <t>MONO 3 fios</t>
  </si>
  <si>
    <t>MONO 2 fios</t>
  </si>
  <si>
    <t xml:space="preserve">4 (4) </t>
  </si>
  <si>
    <t>KVA/Consumidor Tradicional - (Condominios horizontais)</t>
  </si>
  <si>
    <t>Relatório de Rede Primária de Distribuição</t>
  </si>
  <si>
    <t>Local:</t>
  </si>
  <si>
    <t>Rede Primária</t>
  </si>
  <si>
    <t>Fator de Crescimento%</t>
  </si>
  <si>
    <t>Tensão kV</t>
  </si>
  <si>
    <t>Cabo (CAA ou CA)</t>
  </si>
  <si>
    <t>km</t>
  </si>
  <si>
    <t>Cargas Tradicionais MVA</t>
  </si>
  <si>
    <t>Cargas Especiais MVA</t>
  </si>
  <si>
    <t>Carga Acumulada MVA</t>
  </si>
  <si>
    <t>K%   CA</t>
  </si>
  <si>
    <t>K%   CAA</t>
  </si>
  <si>
    <t xml:space="preserve">K%  </t>
  </si>
  <si>
    <t>Comprimento do Trecho        km</t>
  </si>
  <si>
    <t>Queda de Tensão % no Trecho</t>
  </si>
  <si>
    <t>Corrente     (Ampères)</t>
  </si>
  <si>
    <t>Corrente Máx. Admitida CA</t>
  </si>
  <si>
    <t>Corrente Máx. Admitida CAA</t>
  </si>
  <si>
    <t>Ohm/km CA</t>
  </si>
  <si>
    <t>Ohm/km CAA</t>
  </si>
  <si>
    <t>Ramal 1</t>
  </si>
  <si>
    <t>Ramal 2</t>
  </si>
  <si>
    <t>Ramal 3</t>
  </si>
  <si>
    <t>Ramal 4</t>
  </si>
  <si>
    <t>Ramal 5</t>
  </si>
  <si>
    <t>Ramal 6</t>
  </si>
  <si>
    <t>Ramal 7</t>
  </si>
  <si>
    <t>Ramal 8</t>
  </si>
  <si>
    <t>Ramal 9</t>
  </si>
  <si>
    <t>Ramal 10</t>
  </si>
  <si>
    <t>Quadruplex</t>
  </si>
  <si>
    <t>1</t>
  </si>
  <si>
    <t>3</t>
  </si>
  <si>
    <t>5</t>
  </si>
  <si>
    <t>7</t>
  </si>
  <si>
    <t>12</t>
  </si>
  <si>
    <t>13</t>
  </si>
  <si>
    <t>14</t>
  </si>
  <si>
    <t>15</t>
  </si>
  <si>
    <t>16</t>
  </si>
  <si>
    <t>17</t>
  </si>
  <si>
    <t>18</t>
  </si>
  <si>
    <t>23</t>
  </si>
  <si>
    <t>24</t>
  </si>
  <si>
    <t>25</t>
  </si>
  <si>
    <t>26</t>
  </si>
  <si>
    <t>27</t>
  </si>
  <si>
    <t>28</t>
  </si>
  <si>
    <t>19</t>
  </si>
  <si>
    <t>20</t>
  </si>
  <si>
    <t>21</t>
  </si>
  <si>
    <t>22</t>
  </si>
  <si>
    <t>29</t>
  </si>
  <si>
    <t>30</t>
  </si>
  <si>
    <t>31</t>
  </si>
  <si>
    <t>32</t>
  </si>
  <si>
    <t>33</t>
  </si>
  <si>
    <t>8</t>
  </si>
  <si>
    <t>9</t>
  </si>
  <si>
    <t>10</t>
  </si>
  <si>
    <t>REDE PRIMÁRIA</t>
  </si>
  <si>
    <t>Sistema Trifásico</t>
  </si>
  <si>
    <t>Sistema Bifásico com Neutro</t>
  </si>
  <si>
    <t>Sistema Monofásico com Neutro</t>
  </si>
  <si>
    <r>
      <t>e.e. = (d23 * d13 *d12)</t>
    </r>
    <r>
      <rPr>
        <vertAlign val="superscript"/>
        <sz val="10"/>
        <rFont val="Arial"/>
        <family val="2"/>
      </rPr>
      <t>1/3</t>
    </r>
  </si>
  <si>
    <r>
      <t>e.e. = (d01 * d02 *d12)</t>
    </r>
    <r>
      <rPr>
        <vertAlign val="superscript"/>
        <sz val="10"/>
        <rFont val="Arial"/>
        <family val="2"/>
      </rPr>
      <t>1/3</t>
    </r>
  </si>
  <si>
    <t>e.e. = d01</t>
  </si>
  <si>
    <r>
      <t>e.e. = (1500 * 2200 * 700)</t>
    </r>
    <r>
      <rPr>
        <vertAlign val="superscript"/>
        <sz val="10"/>
        <rFont val="Arial"/>
        <family val="2"/>
      </rPr>
      <t>1/3</t>
    </r>
  </si>
  <si>
    <r>
      <t>e.e. = (1312 * 1693 * 2200)</t>
    </r>
    <r>
      <rPr>
        <vertAlign val="superscript"/>
        <sz val="10"/>
        <rFont val="Arial"/>
        <family val="2"/>
      </rPr>
      <t>1/3</t>
    </r>
  </si>
  <si>
    <t>e.e. = 800mm</t>
  </si>
  <si>
    <t>e.e. = 1322mm</t>
  </si>
  <si>
    <t>e.e. = 1693mm</t>
  </si>
  <si>
    <t>REDE SECUNDÁRIA</t>
  </si>
  <si>
    <t>Sistema Monofásico a 3 fios</t>
  </si>
  <si>
    <t>Sistema Monofásico a 2 fios</t>
  </si>
  <si>
    <r>
      <t>e.e. = (d12 * d13 * d23)</t>
    </r>
    <r>
      <rPr>
        <vertAlign val="superscript"/>
        <sz val="10"/>
        <rFont val="Arial"/>
        <family val="2"/>
      </rPr>
      <t>1/6</t>
    </r>
  </si>
  <si>
    <r>
      <t>e.e. = (200 * 400 * 200)</t>
    </r>
    <r>
      <rPr>
        <vertAlign val="superscript"/>
        <sz val="10"/>
        <rFont val="Arial"/>
        <family val="2"/>
      </rPr>
      <t>1/3</t>
    </r>
  </si>
  <si>
    <t>e.e. = 200mm</t>
  </si>
  <si>
    <t>e.e. = 256mm</t>
  </si>
  <si>
    <t>Onde:</t>
  </si>
  <si>
    <t>Rf : resistência do cabo fase</t>
  </si>
  <si>
    <t>K% = [Rf*COSØ+Xf*SENØ]*100 / kV^2</t>
  </si>
  <si>
    <t>Rn : resistência do cabo neutro</t>
  </si>
  <si>
    <t>Xf : reatância indutiva do cabo fase</t>
  </si>
  <si>
    <t>K% = [(Rf+0,5Rn)*COSØ+(Xf+0,5Xn)*SENØ]*150 / kV^2</t>
  </si>
  <si>
    <t>Xn : reatância indutiva do cabo neutro</t>
  </si>
  <si>
    <t>V : tensão entre fases</t>
  </si>
  <si>
    <t xml:space="preserve">K% = [(Rf+Rn)*COSØ+(Xf+Xn)*SENØ]*300 / kV^2 </t>
  </si>
  <si>
    <r>
      <t>kV : tensão entre fases x10</t>
    </r>
    <r>
      <rPr>
        <vertAlign val="superscript"/>
        <sz val="10"/>
        <rFont val="Arial"/>
        <family val="2"/>
      </rPr>
      <t>-3</t>
    </r>
  </si>
  <si>
    <t>Ø : defasagem entre a tensão e a corrente</t>
  </si>
  <si>
    <t>REDE SECUNDÁRIA DERIVADA DA 3Ø</t>
  </si>
  <si>
    <t>K% = [Rf*COSØ+Xf*SENØ]*10000 / V^2</t>
  </si>
  <si>
    <t>K% = [(Rf+0,5Rn)*COSØ+(Xf+0,5Xn)*SENØ]*15000 / V^2</t>
  </si>
  <si>
    <t xml:space="preserve">K% = [(Rf+Rn)*COSØ+(Xf+Xn)*SENØ]*30000 / V^2 </t>
  </si>
  <si>
    <t>REDE SECUNDÁRIA MONOFÁSICA</t>
  </si>
  <si>
    <t xml:space="preserve">K% = [(0,5Rf+Rn)*COSØ+(0,5Xf+Xn)*SENØ]*10000 / (V/2)^2 </t>
  </si>
  <si>
    <t xml:space="preserve">K% = [(Rf+Rn)*COSØ+(Xf+Xn)*SENØ]*10000 / (V/2)^2 </t>
  </si>
  <si>
    <t>Duplex</t>
  </si>
  <si>
    <t>Triplex</t>
  </si>
  <si>
    <t>CAA</t>
  </si>
  <si>
    <t>CA</t>
  </si>
  <si>
    <t>601 a 1200</t>
  </si>
  <si>
    <t>1201 a 2000</t>
  </si>
  <si>
    <t>Acima de 2000</t>
  </si>
  <si>
    <t>NORMA:</t>
  </si>
  <si>
    <t>NT.00004</t>
  </si>
  <si>
    <t>TÍTULO:</t>
  </si>
  <si>
    <t>REVISÃO:</t>
  </si>
  <si>
    <t>DATA:</t>
  </si>
  <si>
    <t>Fornecimento de Energia Elétrica a Empreendimentos de Múltiplas Unidades Consumidoras</t>
  </si>
  <si>
    <r>
      <t xml:space="preserve">É necessário que seja elaborado o diagrama de barras (postes, </t>
    </r>
    <r>
      <rPr>
        <i/>
        <sz val="11"/>
        <rFont val="Arial"/>
        <family val="2"/>
      </rPr>
      <t>flys</t>
    </r>
    <r>
      <rPr>
        <sz val="11"/>
        <rFont val="Arial"/>
        <family val="2"/>
      </rPr>
      <t>), com a respectiva numeração de cada barra, antes do preenchimento da planilha</t>
    </r>
  </si>
  <si>
    <t>Somente os campos em azul podem ser preenchidos</t>
  </si>
  <si>
    <t>Devem ser definidos os troncos (lado A e lado B) do transformador e preenchidos separadamente no campo "tronco"</t>
  </si>
  <si>
    <t>Devem ser definidos os ramais que derivam de uma barra do tronco e preenchidos separadamente no campo "ramais"</t>
  </si>
  <si>
    <t>Devem ser definidos os ramais que derivam de outro ramal e preenchidos separadamente no campo "ramais"</t>
  </si>
  <si>
    <t>O número de consumidores deve ser inserido em cada trecho entre o primeiro e o último ponto do tronco ou ramal. Quando no ponto não houver consumidor, inserir 0. Quando não houver ponto de derivação, deixar vazio</t>
  </si>
  <si>
    <t>As cargas especiais devem ser inseridas em cada trecho entre o primeiro e o último ponto do tronco ou ramal. Quando no ponto não houver carga especial, inserir 0. Quando não houver ponto de derivação, deixar vazio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</si>
</sst>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0.0000"/>
    <numFmt numFmtId="166" formatCode="0.0"/>
    <numFmt numFmtId="167" formatCode="0.00000"/>
    <numFmt numFmtId="168" formatCode="#,##0.0000"/>
    <numFmt numFmtId="169" formatCode="0.000"/>
    <numFmt numFmtId="170" formatCode="0.000%"/>
    <numFmt numFmtId="171" formatCode="0.00000%"/>
    <numFmt numFmtId="172" formatCode="00000"/>
  </numFmts>
  <fonts count="32"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8"/>
      <name val="Tahoma"/>
      <family val="2"/>
    </font>
    <font>
      <b/>
      <sz val="20"/>
      <name val="Swis721 BdCnOul BT"/>
      <family val="5"/>
    </font>
    <font>
      <b/>
      <u val="single"/>
      <sz val="14"/>
      <color indexed="10"/>
      <name val="Arial"/>
      <family val="2"/>
    </font>
    <font>
      <sz val="10"/>
      <color indexed="9"/>
      <name val="Arial"/>
      <family val="2"/>
    </font>
    <font>
      <b/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b/>
      <sz val="18"/>
      <name val="Times New Roman"/>
      <family val="1"/>
    </font>
    <font>
      <sz val="12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0"/>
      <color rgb="FFFF0000"/>
      <name val="Arial"/>
      <family val="2"/>
    </font>
    <font>
      <sz val="10"/>
      <color theme="0" tint="-0.349940001964569"/>
      <name val="Arial"/>
      <family val="2"/>
    </font>
    <font>
      <b/>
      <sz val="10"/>
      <color theme="0" tint="-0.349940001964569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sz val="9"/>
      <name val="Segoe UI"/>
      <family val="2"/>
    </font>
    <font>
      <b/>
      <sz val="9"/>
      <name val="Segoe UI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499976634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0003623962"/>
        <bgColor indexed="64"/>
      </patternFill>
    </fill>
    <fill>
      <patternFill patternType="solid">
        <fgColor theme="8" tint="0.599960029125214"/>
        <bgColor indexed="64"/>
      </patternFill>
    </fill>
    <fill>
      <patternFill patternType="solid">
        <fgColor theme="0" tint="-0.249929994344711"/>
        <bgColor indexed="64"/>
      </patternFill>
    </fill>
    <fill>
      <patternFill patternType="solid">
        <fgColor rgb="FF92D050"/>
        <bgColor indexed="64"/>
      </patternFill>
    </fill>
  </fills>
  <borders count="1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double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/>
      <top/>
      <bottom/>
    </border>
    <border>
      <left style="medium">
        <color auto="1"/>
      </left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/>
      <right style="medium">
        <color auto="1"/>
      </right>
      <top/>
      <bottom/>
    </border>
    <border>
      <left style="medium">
        <color auto="1"/>
      </left>
      <right/>
      <top/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/>
      <right/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/>
      <top style="thin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/>
      <bottom style="thin">
        <color auto="1"/>
      </bottom>
    </border>
    <border>
      <left/>
      <right/>
      <top/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/>
      <right/>
      <top style="thin">
        <color auto="1"/>
      </top>
      <bottom/>
    </border>
    <border>
      <left/>
      <right/>
      <top style="medium">
        <color auto="1"/>
      </top>
      <bottom/>
    </border>
    <border>
      <left/>
      <right/>
      <top/>
      <bottom style="medium">
        <color auto="1"/>
      </bottom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</border>
    <border>
      <left style="hair">
        <color auto="1"/>
      </left>
      <right style="hair">
        <color auto="1"/>
      </right>
      <top/>
      <bottom style="hair">
        <color auto="1"/>
      </bottom>
    </border>
    <border>
      <left style="hair">
        <color auto="1"/>
      </left>
      <right style="double">
        <color auto="1"/>
      </right>
      <top/>
      <bottom style="hair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/>
      <right/>
      <top style="double">
        <color auto="1"/>
      </top>
      <bottom style="double">
        <color auto="1"/>
      </bottom>
    </border>
    <border>
      <left/>
      <right style="double">
        <color auto="1"/>
      </right>
      <top/>
      <bottom/>
    </border>
    <border>
      <left/>
      <right style="medium">
        <color auto="1"/>
      </right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/>
      <right style="hair">
        <color auto="1"/>
      </right>
      <top style="double">
        <color auto="1"/>
      </top>
      <bottom style="hair">
        <color auto="1"/>
      </bottom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double">
        <color auto="1"/>
      </bottom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 style="thin">
        <color theme="0" tint="-0.349940001964569"/>
      </right>
      <top/>
      <bottom style="thin">
        <color theme="0" tint="-0.349940001964569"/>
      </bottom>
    </border>
    <border>
      <left style="thin">
        <color theme="0" tint="-0.349940001964569"/>
      </left>
      <right style="thin">
        <color theme="0" tint="-0.349940001964569"/>
      </right>
      <top/>
      <bottom style="thin">
        <color theme="0" tint="-0.349940001964569"/>
      </bottom>
    </border>
    <border>
      <left style="thin">
        <color theme="0" tint="-0.349940001964569"/>
      </left>
      <right/>
      <top/>
      <bottom style="thin">
        <color theme="0" tint="-0.349940001964569"/>
      </bottom>
    </border>
    <border>
      <left/>
      <right style="thin">
        <color theme="0" tint="-0.349940001964569"/>
      </right>
      <top style="thin">
        <color theme="0" tint="-0.349940001964569"/>
      </top>
      <bottom style="thin">
        <color theme="0" tint="-0.349940001964569"/>
      </bottom>
    </border>
    <border>
      <left style="thin">
        <color theme="0" tint="-0.349940001964569"/>
      </left>
      <right style="thin">
        <color theme="0" tint="-0.349940001964569"/>
      </right>
      <top style="thin">
        <color theme="0" tint="-0.349940001964569"/>
      </top>
      <bottom style="thin">
        <color theme="0" tint="-0.349940001964569"/>
      </bottom>
    </border>
    <border>
      <left style="thin">
        <color theme="0" tint="-0.349940001964569"/>
      </left>
      <right/>
      <top style="thin">
        <color theme="0" tint="-0.349940001964569"/>
      </top>
      <bottom style="thin">
        <color theme="0" tint="-0.349940001964569"/>
      </bottom>
    </border>
    <border>
      <left style="thin">
        <color theme="0" tint="-0.349940001964569"/>
      </left>
      <right style="thin">
        <color auto="1"/>
      </right>
      <top style="thin">
        <color theme="0" tint="-0.349940001964569"/>
      </top>
      <bottom style="thin">
        <color theme="0" tint="-0.349940001964569"/>
      </bottom>
    </border>
    <border>
      <left/>
      <right style="thin">
        <color theme="0" tint="-0.349940001964569"/>
      </right>
      <top style="thin">
        <color theme="0" tint="-0.349940001964569"/>
      </top>
      <bottom/>
    </border>
    <border>
      <left style="thin">
        <color theme="0" tint="-0.349940001964569"/>
      </left>
      <right style="thin">
        <color theme="0" tint="-0.349940001964569"/>
      </right>
      <top style="thin">
        <color theme="0" tint="-0.349940001964569"/>
      </top>
      <bottom/>
    </border>
    <border>
      <left style="thin">
        <color theme="0" tint="-0.349940001964569"/>
      </left>
      <right/>
      <top style="thin">
        <color theme="0" tint="-0.349940001964569"/>
      </top>
      <bottom/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</border>
    <border>
      <left style="hair">
        <color auto="1"/>
      </left>
      <right style="hair">
        <color auto="1"/>
      </right>
      <top style="double">
        <color auto="1"/>
      </top>
      <bottom/>
    </border>
    <border>
      <left style="hair">
        <color auto="1"/>
      </left>
      <right style="hair">
        <color auto="1"/>
      </right>
      <top/>
      <bottom style="double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</border>
    <border>
      <left style="double">
        <color auto="1"/>
      </left>
      <right style="hair">
        <color auto="1"/>
      </right>
      <top/>
      <bottom style="hair">
        <color auto="1"/>
      </bottom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</border>
    <border>
      <left/>
      <right/>
      <top/>
      <bottom style="double">
        <color auto="1"/>
      </bottom>
    </border>
    <border>
      <left style="double">
        <color auto="1"/>
      </left>
      <right style="double">
        <color auto="1"/>
      </right>
      <top style="double">
        <color auto="1"/>
      </top>
      <bottom/>
    </border>
    <border>
      <left style="double">
        <color auto="1"/>
      </left>
      <right style="double">
        <color auto="1"/>
      </right>
      <top/>
      <bottom/>
    </border>
    <border>
      <left style="double">
        <color auto="1"/>
      </left>
      <right style="double">
        <color auto="1"/>
      </right>
      <top/>
      <bottom style="double">
        <color auto="1"/>
      </bottom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 style="double">
        <color auto="1"/>
      </left>
      <right/>
      <top style="double">
        <color auto="1"/>
      </top>
      <bottom style="thin">
        <color auto="1"/>
      </bottom>
    </border>
    <border>
      <left/>
      <right style="double">
        <color auto="1"/>
      </right>
      <top style="double">
        <color auto="1"/>
      </top>
      <bottom style="thin">
        <color auto="1"/>
      </bottom>
    </border>
    <border>
      <left/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/>
      <top style="medium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/>
      <top style="thin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</border>
    <border>
      <left/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thin">
        <color auto="1"/>
      </bottom>
    </border>
    <border>
      <left style="hair">
        <color auto="1"/>
      </left>
      <right/>
      <top style="double">
        <color auto="1"/>
      </top>
      <bottom style="hair">
        <color auto="1"/>
      </bottom>
    </border>
    <border>
      <left/>
      <right/>
      <top style="double">
        <color auto="1"/>
      </top>
      <bottom style="hair">
        <color auto="1"/>
      </bottom>
    </border>
    <border>
      <left/>
      <right style="hair">
        <color auto="1"/>
      </right>
      <top style="double">
        <color auto="1"/>
      </top>
      <bottom/>
    </border>
  </borders>
  <cellStyleXfs count="10">
    <xf numFmtId="0" fontId="0" fillId="0" borderId="0">
      <alignment/>
      <protection/>
    </xf>
    <xf numFmtId="9" fontId="1" fillId="0" borderId="0" applyFont="0" applyFill="0" applyBorder="0" applyAlignment="0" applyProtection="0">
      <alignment/>
    </xf>
    <xf numFmtId="44" fontId="1" fillId="0" borderId="0" applyFont="0" applyFill="0" applyBorder="0" applyAlignment="0" applyProtection="0">
      <alignment/>
    </xf>
    <xf numFmtId="42" fontId="1" fillId="0" borderId="0" applyFont="0" applyFill="0" applyBorder="0" applyAlignment="0" applyProtection="0">
      <alignment/>
    </xf>
    <xf numFmtId="43" fontId="1" fillId="0" borderId="0" applyFont="0" applyFill="0" applyBorder="0" applyAlignment="0" applyProtection="0">
      <alignment/>
    </xf>
    <xf numFmtId="41" fontId="1" fillId="0" borderId="0" applyFont="0" applyFill="0" applyBorder="0" applyAlignment="0" applyProtection="0">
      <alignment/>
    </xf>
    <xf numFmtId="9" fontId="0" fillId="0" borderId="0" applyFont="0" applyFill="0" applyBorder="0" applyAlignment="0" applyProtection="0">
      <alignment/>
    </xf>
    <xf numFmtId="164" fontId="0" fillId="0" borderId="0" applyFont="0" applyFill="0" applyBorder="0" applyAlignment="0" applyProtection="0">
      <alignment/>
    </xf>
    <xf numFmtId="0" fontId="0" fillId="0" borderId="0">
      <alignment/>
      <protection/>
    </xf>
    <xf numFmtId="43" fontId="0" fillId="0" borderId="0" applyFont="0" applyFill="0" applyBorder="0" applyAlignment="0" applyProtection="0">
      <alignment/>
    </xf>
  </cellStyleXfs>
  <cellXfs count="815">
    <xf numFmtId="0" fontId="0" fillId="0" borderId="0" xfId="0">
      <alignment/>
    </xf>
    <xf numFmtId="0" fontId="0" fillId="0" borderId="0" xfId="0" applyAlignment="1">
      <alignment horizontal="center"/>
    </xf>
    <xf numFmtId="0" fontId="0" fillId="2" borderId="0" xfId="0" applyFill="1">
      <alignment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>
      <alignment/>
    </xf>
    <xf numFmtId="0" fontId="10" fillId="0" borderId="0" xfId="0" applyFont="1" applyAlignment="1">
      <alignment horizontal="center"/>
    </xf>
    <xf numFmtId="0" fontId="0" fillId="2" borderId="0" xfId="0" applyFill="1" applyAlignment="1">
      <alignment horizontal="left"/>
    </xf>
    <xf numFmtId="165" fontId="11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  <xf numFmtId="0" fontId="16" fillId="2" borderId="0" xfId="0" applyFont="1" applyFill="1">
      <alignment/>
    </xf>
    <xf numFmtId="0" fontId="9" fillId="2" borderId="0" xfId="0" applyFont="1" applyFill="1" applyAlignment="1">
      <alignment horizontal="center"/>
    </xf>
    <xf numFmtId="0" fontId="0" fillId="4" borderId="2" xfId="0" applyFill="1" applyBorder="1" applyProtection="1">
      <alignment/>
      <protection locked="0"/>
    </xf>
    <xf numFmtId="49" fontId="5" fillId="4" borderId="3" xfId="0" applyNumberFormat="1" applyFont="1" applyFill="1" applyBorder="1" applyAlignment="1" applyProtection="1">
      <alignment horizontal="center" vertical="center"/>
      <protection locked="0"/>
    </xf>
    <xf numFmtId="49" fontId="5" fillId="4" borderId="4" xfId="0" applyNumberFormat="1" applyFont="1" applyFill="1" applyBorder="1" applyAlignment="1" applyProtection="1">
      <alignment horizontal="center" vertical="center"/>
      <protection locked="0"/>
    </xf>
    <xf numFmtId="49" fontId="5" fillId="4" borderId="5" xfId="0" applyNumberFormat="1" applyFont="1" applyFill="1" applyBorder="1" applyAlignment="1" applyProtection="1">
      <alignment horizontal="center" vertical="center"/>
      <protection locked="0"/>
    </xf>
    <xf numFmtId="49" fontId="5" fillId="4" borderId="6" xfId="0" applyNumberFormat="1" applyFont="1" applyFill="1" applyBorder="1" applyAlignment="1" applyProtection="1">
      <alignment horizontal="center" vertical="center"/>
      <protection locked="0"/>
    </xf>
    <xf numFmtId="49" fontId="5" fillId="4" borderId="7" xfId="0" applyNumberFormat="1" applyFont="1" applyFill="1" applyBorder="1" applyAlignment="1" applyProtection="1">
      <alignment horizontal="center" vertical="center"/>
      <protection locked="0"/>
    </xf>
    <xf numFmtId="49" fontId="5" fillId="4" borderId="8" xfId="0" applyNumberFormat="1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 applyProtection="1">
      <alignment horizontal="center"/>
      <protection locked="0"/>
    </xf>
    <xf numFmtId="49" fontId="5" fillId="4" borderId="9" xfId="0" applyNumberFormat="1" applyFont="1" applyFill="1" applyBorder="1" applyAlignment="1" applyProtection="1">
      <alignment horizontal="center"/>
      <protection locked="0"/>
    </xf>
    <xf numFmtId="49" fontId="5" fillId="4" borderId="8" xfId="0" applyNumberFormat="1" applyFont="1" applyFill="1" applyBorder="1" applyAlignment="1" applyProtection="1">
      <alignment horizontal="center"/>
      <protection locked="0"/>
    </xf>
    <xf numFmtId="49" fontId="5" fillId="4" borderId="10" xfId="0" applyNumberFormat="1" applyFont="1" applyFill="1" applyBorder="1" applyAlignment="1" applyProtection="1">
      <alignment horizontal="center" vertical="center"/>
      <protection locked="0"/>
    </xf>
    <xf numFmtId="49" fontId="5" fillId="4" borderId="3" xfId="0" applyNumberFormat="1" applyFont="1" applyFill="1" applyBorder="1" applyAlignment="1" applyProtection="1">
      <alignment horizontal="center"/>
      <protection locked="0"/>
    </xf>
    <xf numFmtId="49" fontId="5" fillId="4" borderId="4" xfId="0" applyNumberFormat="1" applyFont="1" applyFill="1" applyBorder="1" applyAlignment="1" applyProtection="1">
      <alignment horizontal="center"/>
      <protection locked="0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 applyProtection="1">
      <alignment horizontal="center" vertical="center"/>
      <protection locked="0"/>
    </xf>
    <xf numFmtId="49" fontId="5" fillId="4" borderId="9" xfId="0" applyNumberFormat="1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/>
      <protection locked="0"/>
    </xf>
    <xf numFmtId="0" fontId="5" fillId="4" borderId="9" xfId="0" applyFont="1" applyFill="1" applyBorder="1" applyAlignment="1" applyProtection="1">
      <alignment horizontal="center"/>
      <protection locked="0"/>
    </xf>
    <xf numFmtId="49" fontId="5" fillId="4" borderId="11" xfId="0" applyNumberFormat="1" applyFont="1" applyFill="1" applyBorder="1" applyAlignment="1" applyProtection="1">
      <alignment horizontal="center" vertical="center"/>
      <protection locked="0"/>
    </xf>
    <xf numFmtId="49" fontId="5" fillId="4" borderId="12" xfId="0" applyNumberFormat="1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49" fontId="5" fillId="4" borderId="13" xfId="0" applyNumberFormat="1" applyFont="1" applyFill="1" applyBorder="1" applyAlignment="1" applyProtection="1">
      <alignment horizontal="center" vertical="center"/>
      <protection locked="0"/>
    </xf>
    <xf numFmtId="49" fontId="5" fillId="4" borderId="11" xfId="0" applyNumberFormat="1" applyFont="1" applyFill="1" applyBorder="1" applyAlignment="1" applyProtection="1">
      <alignment horizontal="center"/>
      <protection locked="0"/>
    </xf>
    <xf numFmtId="49" fontId="5" fillId="4" borderId="13" xfId="0" applyNumberFormat="1" applyFont="1" applyFill="1" applyBorder="1" applyAlignment="1" applyProtection="1">
      <alignment horizontal="center"/>
      <protection locked="0"/>
    </xf>
    <xf numFmtId="0" fontId="5" fillId="4" borderId="13" xfId="0" applyFont="1" applyFill="1" applyBorder="1" applyAlignment="1" applyProtection="1">
      <alignment horizontal="center"/>
      <protection locked="0"/>
    </xf>
    <xf numFmtId="0" fontId="0" fillId="4" borderId="14" xfId="0" applyFill="1" applyBorder="1" applyProtection="1">
      <alignment/>
      <protection locked="0"/>
    </xf>
    <xf numFmtId="49" fontId="5" fillId="5" borderId="1" xfId="0" applyNumberFormat="1" applyFont="1" applyFill="1" applyBorder="1" applyAlignment="1" applyProtection="1">
      <alignment horizontal="center" vertical="center"/>
      <protection locked="0"/>
    </xf>
    <xf numFmtId="49" fontId="5" fillId="5" borderId="8" xfId="0" applyNumberFormat="1" applyFont="1" applyFill="1" applyBorder="1" applyAlignment="1" applyProtection="1">
      <alignment horizontal="center" vertical="center"/>
      <protection locked="0"/>
    </xf>
    <xf numFmtId="49" fontId="5" fillId="5" borderId="9" xfId="0" applyNumberFormat="1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9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/>
      <protection locked="0"/>
    </xf>
    <xf numFmtId="0" fontId="5" fillId="5" borderId="9" xfId="0" applyFont="1" applyFill="1" applyBorder="1" applyAlignment="1" applyProtection="1">
      <alignment horizontal="center"/>
      <protection locked="0"/>
    </xf>
    <xf numFmtId="0" fontId="0" fillId="5" borderId="14" xfId="0" applyFill="1" applyBorder="1" applyProtection="1">
      <alignment/>
      <protection locked="0"/>
    </xf>
    <xf numFmtId="0" fontId="0" fillId="5" borderId="14" xfId="0" applyFill="1" applyBorder="1" applyAlignment="1" applyProtection="1">
      <alignment horizontal="right"/>
      <protection locked="0"/>
    </xf>
    <xf numFmtId="49" fontId="5" fillId="5" borderId="10" xfId="0" applyNumberFormat="1" applyFont="1" applyFill="1" applyBorder="1" applyAlignment="1" applyProtection="1">
      <alignment horizontal="center" vertical="center"/>
      <protection locked="0"/>
    </xf>
    <xf numFmtId="49" fontId="5" fillId="5" borderId="7" xfId="0" applyNumberFormat="1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 applyProtection="1">
      <alignment horizontal="center" vertical="center"/>
      <protection locked="0"/>
    </xf>
    <xf numFmtId="49" fontId="5" fillId="5" borderId="3" xfId="0" applyNumberFormat="1" applyFont="1" applyFill="1" applyBorder="1" applyAlignment="1" applyProtection="1">
      <alignment horizontal="center" vertical="center"/>
      <protection locked="0"/>
    </xf>
    <xf numFmtId="49" fontId="5" fillId="5" borderId="5" xfId="0" applyNumberFormat="1" applyFont="1" applyFill="1" applyBorder="1" applyAlignment="1" applyProtection="1">
      <alignment horizontal="center" vertical="center"/>
      <protection locked="0"/>
    </xf>
    <xf numFmtId="0" fontId="5" fillId="5" borderId="3" xfId="0" applyFont="1" applyFill="1" applyBorder="1" applyAlignment="1" applyProtection="1">
      <alignment horizontal="center" vertical="center"/>
      <protection locked="0"/>
    </xf>
    <xf numFmtId="49" fontId="5" fillId="5" borderId="4" xfId="0" applyNumberFormat="1" applyFont="1" applyFill="1" applyBorder="1" applyAlignment="1" applyProtection="1">
      <alignment horizontal="center" vertical="center"/>
      <protection locked="0"/>
    </xf>
    <xf numFmtId="49" fontId="5" fillId="5" borderId="6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 applyProtection="1">
      <alignment horizontal="center"/>
      <protection locked="0"/>
    </xf>
    <xf numFmtId="0" fontId="5" fillId="5" borderId="8" xfId="0" applyFont="1" applyFill="1" applyBorder="1" applyAlignment="1" applyProtection="1">
      <alignment horizontal="center"/>
      <protection locked="0"/>
    </xf>
    <xf numFmtId="49" fontId="5" fillId="5" borderId="3" xfId="0" applyNumberFormat="1" applyFont="1" applyFill="1" applyBorder="1" applyAlignment="1" applyProtection="1">
      <alignment horizontal="center"/>
      <protection locked="0"/>
    </xf>
    <xf numFmtId="49" fontId="5" fillId="5" borderId="5" xfId="0" applyNumberFormat="1" applyFont="1" applyFill="1" applyBorder="1" applyAlignment="1" applyProtection="1">
      <alignment horizontal="center"/>
      <protection locked="0"/>
    </xf>
    <xf numFmtId="0" fontId="5" fillId="5" borderId="3" xfId="0" applyFont="1" applyFill="1" applyBorder="1" applyAlignment="1" applyProtection="1">
      <alignment horizontal="center"/>
      <protection locked="0"/>
    </xf>
    <xf numFmtId="49" fontId="5" fillId="5" borderId="4" xfId="0" applyNumberFormat="1" applyFont="1" applyFill="1" applyBorder="1" applyAlignment="1" applyProtection="1">
      <alignment horizontal="center"/>
      <protection locked="0"/>
    </xf>
    <xf numFmtId="49" fontId="5" fillId="5" borderId="6" xfId="0" applyNumberFormat="1" applyFont="1" applyFill="1" applyBorder="1" applyAlignment="1" applyProtection="1">
      <alignment horizontal="center"/>
      <protection locked="0"/>
    </xf>
    <xf numFmtId="0" fontId="5" fillId="5" borderId="4" xfId="0" applyFont="1" applyFill="1" applyBorder="1" applyAlignment="1" applyProtection="1">
      <alignment horizontal="center"/>
      <protection locked="0"/>
    </xf>
    <xf numFmtId="49" fontId="5" fillId="5" borderId="7" xfId="0" applyNumberFormat="1" applyFont="1" applyFill="1" applyBorder="1" applyAlignment="1" applyProtection="1">
      <alignment horizontal="center"/>
      <protection locked="0"/>
    </xf>
    <xf numFmtId="0" fontId="5" fillId="4" borderId="8" xfId="0" applyFont="1" applyFill="1" applyBorder="1" applyAlignment="1" applyProtection="1">
      <alignment horizontal="right" vertical="center"/>
      <protection locked="0"/>
    </xf>
    <xf numFmtId="172" fontId="5" fillId="4" borderId="8" xfId="0" applyNumberFormat="1" applyFont="1" applyFill="1" applyBorder="1" applyAlignment="1" applyProtection="1">
      <alignment horizontal="right" vertical="center"/>
      <protection locked="0"/>
    </xf>
    <xf numFmtId="0" fontId="5" fillId="4" borderId="1" xfId="0" applyFont="1" applyFill="1" applyBorder="1" applyAlignment="1" applyProtection="1">
      <alignment horizontal="right" vertical="center"/>
      <protection locked="0"/>
    </xf>
    <xf numFmtId="172" fontId="5" fillId="4" borderId="1" xfId="0" applyNumberFormat="1" applyFont="1" applyFill="1" applyBorder="1" applyAlignment="1" applyProtection="1">
      <alignment horizontal="right" vertical="center"/>
      <protection locked="0"/>
    </xf>
    <xf numFmtId="0" fontId="5" fillId="4" borderId="9" xfId="0" applyFont="1" applyFill="1" applyBorder="1" applyAlignment="1" applyProtection="1">
      <alignment horizontal="right" vertical="center"/>
      <protection locked="0"/>
    </xf>
    <xf numFmtId="172" fontId="5" fillId="4" borderId="9" xfId="0" applyNumberFormat="1" applyFont="1" applyFill="1" applyBorder="1" applyAlignment="1" applyProtection="1">
      <alignment horizontal="right" vertical="center"/>
      <protection locked="0"/>
    </xf>
    <xf numFmtId="49" fontId="5" fillId="5" borderId="1" xfId="0" applyNumberFormat="1" applyFont="1" applyFill="1" applyBorder="1" applyAlignment="1" applyProtection="1">
      <alignment horizontal="center"/>
      <protection locked="0"/>
    </xf>
    <xf numFmtId="49" fontId="5" fillId="5" borderId="9" xfId="0" applyNumberFormat="1" applyFont="1" applyFill="1" applyBorder="1" applyAlignment="1" applyProtection="1">
      <alignment horizontal="center"/>
      <protection locked="0"/>
    </xf>
    <xf numFmtId="49" fontId="5" fillId="5" borderId="8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>
      <alignment/>
    </xf>
    <xf numFmtId="49" fontId="0" fillId="2" borderId="1" xfId="0" applyNumberFormat="1" applyFill="1" applyBorder="1" applyAlignment="1">
      <alignment horizontal="center" vertical="center"/>
    </xf>
    <xf numFmtId="1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5" xfId="0" applyFill="1" applyBorder="1" applyProtection="1">
      <alignment/>
      <protection locked="0"/>
    </xf>
    <xf numFmtId="0" fontId="5" fillId="5" borderId="16" xfId="0" applyFont="1" applyFill="1" applyBorder="1" applyAlignment="1" applyProtection="1">
      <alignment horizontal="center" vertical="center"/>
      <protection locked="0"/>
    </xf>
    <xf numFmtId="0" fontId="0" fillId="5" borderId="17" xfId="0" applyFill="1" applyBorder="1" applyProtection="1">
      <alignment/>
      <protection locked="0"/>
    </xf>
    <xf numFmtId="49" fontId="0" fillId="2" borderId="0" xfId="0" applyNumberFormat="1" applyFill="1">
      <alignment/>
    </xf>
    <xf numFmtId="0" fontId="0" fillId="2" borderId="18" xfId="0" applyFill="1" applyBorder="1">
      <alignment/>
    </xf>
    <xf numFmtId="0" fontId="0" fillId="2" borderId="19" xfId="0" applyFill="1" applyBorder="1" applyAlignment="1">
      <alignment horizontal="right"/>
    </xf>
    <xf numFmtId="0" fontId="0" fillId="6" borderId="20" xfId="0" applyFill="1" applyBorder="1" applyAlignment="1">
      <alignment horizontal="left"/>
    </xf>
    <xf numFmtId="0" fontId="0" fillId="4" borderId="20" xfId="0" applyFill="1" applyBorder="1" applyAlignment="1">
      <alignment horizontal="left"/>
    </xf>
    <xf numFmtId="0" fontId="0" fillId="3" borderId="20" xfId="0" applyFill="1" applyBorder="1" applyAlignment="1">
      <alignment horizontal="left"/>
    </xf>
    <xf numFmtId="0" fontId="0" fillId="2" borderId="18" xfId="0" applyFill="1" applyBorder="1" applyAlignment="1">
      <alignment horizontal="right"/>
    </xf>
    <xf numFmtId="0" fontId="0" fillId="2" borderId="21" xfId="0" applyFill="1" applyBorder="1" applyAlignment="1">
      <alignment horizontal="left"/>
    </xf>
    <xf numFmtId="0" fontId="0" fillId="2" borderId="21" xfId="0" applyFill="1" applyBorder="1">
      <alignment/>
    </xf>
    <xf numFmtId="0" fontId="0" fillId="6" borderId="21" xfId="0" applyFill="1" applyBorder="1" applyAlignment="1">
      <alignment horizontal="left"/>
    </xf>
    <xf numFmtId="0" fontId="0" fillId="4" borderId="21" xfId="0" applyFill="1" applyBorder="1" applyAlignment="1">
      <alignment horizontal="left"/>
    </xf>
    <xf numFmtId="0" fontId="0" fillId="3" borderId="21" xfId="0" applyFill="1" applyBorder="1" applyAlignment="1">
      <alignment horizontal="left"/>
    </xf>
    <xf numFmtId="0" fontId="0" fillId="2" borderId="22" xfId="0" applyFill="1" applyBorder="1" applyAlignment="1">
      <alignment horizontal="right"/>
    </xf>
    <xf numFmtId="165" fontId="0" fillId="2" borderId="23" xfId="0" applyNumberFormat="1" applyFill="1" applyBorder="1" applyAlignment="1">
      <alignment horizontal="left"/>
    </xf>
    <xf numFmtId="0" fontId="5" fillId="0" borderId="24" xfId="0" applyFont="1" applyBorder="1" applyAlignment="1">
      <alignment horizontal="center" wrapText="1"/>
    </xf>
    <xf numFmtId="0" fontId="0" fillId="6" borderId="24" xfId="0" applyFill="1" applyBorder="1">
      <alignment/>
    </xf>
    <xf numFmtId="0" fontId="0" fillId="6" borderId="25" xfId="0" applyFill="1" applyBorder="1" applyAlignment="1">
      <alignment horizontal="center"/>
    </xf>
    <xf numFmtId="0" fontId="0" fillId="6" borderId="26" xfId="0" applyFill="1" applyBorder="1" applyAlignment="1">
      <alignment horizontal="center"/>
    </xf>
    <xf numFmtId="0" fontId="5" fillId="0" borderId="17" xfId="0" applyFont="1" applyBorder="1" applyAlignment="1">
      <alignment horizontal="center" wrapText="1"/>
    </xf>
    <xf numFmtId="0" fontId="0" fillId="6" borderId="27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27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49" fontId="0" fillId="2" borderId="29" xfId="0" applyNumberFormat="1" applyFill="1" applyBorder="1" applyAlignment="1">
      <alignment horizontal="center" vertical="center"/>
    </xf>
    <xf numFmtId="49" fontId="0" fillId="7" borderId="29" xfId="0" applyNumberFormat="1" applyFill="1" applyBorder="1" applyAlignment="1">
      <alignment horizontal="center" vertical="center"/>
    </xf>
    <xf numFmtId="167" fontId="0" fillId="6" borderId="29" xfId="0" applyNumberFormat="1" applyFill="1" applyBorder="1" applyAlignment="1">
      <alignment horizontal="center"/>
    </xf>
    <xf numFmtId="167" fontId="0" fillId="6" borderId="30" xfId="0" applyNumberFormat="1" applyFill="1" applyBorder="1" applyAlignment="1">
      <alignment horizontal="center"/>
    </xf>
    <xf numFmtId="167" fontId="0" fillId="4" borderId="29" xfId="0" applyNumberFormat="1" applyFill="1" applyBorder="1" applyAlignment="1">
      <alignment horizontal="center"/>
    </xf>
    <xf numFmtId="167" fontId="0" fillId="3" borderId="29" xfId="0" applyNumberFormat="1" applyFill="1" applyBorder="1" applyAlignment="1">
      <alignment horizontal="center"/>
    </xf>
    <xf numFmtId="49" fontId="0" fillId="2" borderId="31" xfId="0" applyNumberFormat="1" applyFill="1" applyBorder="1" applyAlignment="1">
      <alignment horizontal="center"/>
    </xf>
    <xf numFmtId="49" fontId="0" fillId="7" borderId="31" xfId="0" applyNumberFormat="1" applyFill="1" applyBorder="1" applyAlignment="1">
      <alignment horizontal="center"/>
    </xf>
    <xf numFmtId="167" fontId="0" fillId="6" borderId="31" xfId="0" applyNumberFormat="1" applyFill="1" applyBorder="1" applyAlignment="1">
      <alignment horizontal="center"/>
    </xf>
    <xf numFmtId="167" fontId="0" fillId="6" borderId="32" xfId="0" applyNumberFormat="1" applyFill="1" applyBorder="1" applyAlignment="1">
      <alignment horizontal="center"/>
    </xf>
    <xf numFmtId="167" fontId="0" fillId="4" borderId="31" xfId="0" applyNumberFormat="1" applyFill="1" applyBorder="1" applyAlignment="1">
      <alignment horizontal="center"/>
    </xf>
    <xf numFmtId="49" fontId="0" fillId="2" borderId="27" xfId="0" applyNumberFormat="1" applyFill="1" applyBorder="1" applyAlignment="1">
      <alignment horizontal="center"/>
    </xf>
    <xf numFmtId="49" fontId="0" fillId="7" borderId="27" xfId="0" applyNumberFormat="1" applyFill="1" applyBorder="1" applyAlignment="1">
      <alignment horizontal="center"/>
    </xf>
    <xf numFmtId="167" fontId="0" fillId="6" borderId="27" xfId="0" applyNumberFormat="1" applyFill="1" applyBorder="1" applyAlignment="1">
      <alignment horizontal="center"/>
    </xf>
    <xf numFmtId="167" fontId="0" fillId="6" borderId="28" xfId="0" applyNumberFormat="1" applyFill="1" applyBorder="1" applyAlignment="1">
      <alignment horizontal="center"/>
    </xf>
    <xf numFmtId="167" fontId="0" fillId="4" borderId="27" xfId="0" applyNumberFormat="1" applyFill="1" applyBorder="1" applyAlignment="1">
      <alignment horizontal="center"/>
    </xf>
    <xf numFmtId="167" fontId="0" fillId="3" borderId="27" xfId="0" applyNumberForma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8" borderId="0" xfId="0" applyFill="1">
      <alignment/>
    </xf>
    <xf numFmtId="167" fontId="0" fillId="0" borderId="1" xfId="0" applyNumberFormat="1" applyBorder="1">
      <alignment/>
    </xf>
    <xf numFmtId="0" fontId="2" fillId="0" borderId="33" xfId="0" applyFont="1" applyBorder="1">
      <alignment/>
    </xf>
    <xf numFmtId="0" fontId="2" fillId="0" borderId="34" xfId="0" applyFont="1" applyBorder="1">
      <alignment/>
    </xf>
    <xf numFmtId="0" fontId="2" fillId="0" borderId="35" xfId="0" applyFont="1" applyBorder="1">
      <alignment/>
    </xf>
    <xf numFmtId="0" fontId="0" fillId="0" borderId="33" xfId="0" applyBorder="1" applyAlignment="1">
      <alignment horizontal="center"/>
    </xf>
    <xf numFmtId="49" fontId="0" fillId="5" borderId="33" xfId="0" applyNumberFormat="1" applyFill="1" applyBorder="1">
      <alignment/>
    </xf>
    <xf numFmtId="1" fontId="0" fillId="0" borderId="33" xfId="0" applyNumberFormat="1" applyBorder="1">
      <alignment/>
    </xf>
    <xf numFmtId="167" fontId="0" fillId="0" borderId="33" xfId="0" applyNumberFormat="1" applyBorder="1">
      <alignment/>
    </xf>
    <xf numFmtId="167" fontId="0" fillId="0" borderId="36" xfId="0" applyNumberFormat="1" applyBorder="1">
      <alignment/>
    </xf>
    <xf numFmtId="0" fontId="0" fillId="0" borderId="1" xfId="0" applyBorder="1" applyAlignment="1">
      <alignment horizontal="center"/>
    </xf>
    <xf numFmtId="49" fontId="0" fillId="5" borderId="1" xfId="0" applyNumberFormat="1" applyFill="1" applyBorder="1">
      <alignment/>
    </xf>
    <xf numFmtId="1" fontId="0" fillId="0" borderId="1" xfId="0" applyNumberFormat="1" applyBorder="1">
      <alignment/>
    </xf>
    <xf numFmtId="167" fontId="0" fillId="0" borderId="37" xfId="0" applyNumberFormat="1" applyBorder="1">
      <alignment/>
    </xf>
    <xf numFmtId="0" fontId="0" fillId="0" borderId="34" xfId="0" applyBorder="1" applyAlignment="1">
      <alignment horizontal="center"/>
    </xf>
    <xf numFmtId="49" fontId="0" fillId="5" borderId="34" xfId="0" applyNumberFormat="1" applyFill="1" applyBorder="1">
      <alignment/>
    </xf>
    <xf numFmtId="1" fontId="0" fillId="0" borderId="34" xfId="0" applyNumberFormat="1" applyBorder="1">
      <alignment/>
    </xf>
    <xf numFmtId="167" fontId="0" fillId="0" borderId="34" xfId="0" applyNumberFormat="1" applyBorder="1">
      <alignment/>
    </xf>
    <xf numFmtId="167" fontId="0" fillId="0" borderId="35" xfId="0" applyNumberFormat="1" applyBorder="1">
      <alignment/>
    </xf>
    <xf numFmtId="0" fontId="0" fillId="2" borderId="0" xfId="0" applyFill="1" applyAlignment="1">
      <alignment horizontal="right"/>
    </xf>
    <xf numFmtId="0" fontId="0" fillId="2" borderId="38" xfId="0" applyFill="1" applyBorder="1">
      <alignment/>
    </xf>
    <xf numFmtId="0" fontId="0" fillId="0" borderId="0" xfId="0" applyAlignment="1">
      <alignment horizontal="right"/>
    </xf>
    <xf numFmtId="49" fontId="0" fillId="2" borderId="0" xfId="0" applyNumberFormat="1" applyFill="1" applyAlignment="1">
      <alignment horizontal="right"/>
    </xf>
    <xf numFmtId="0" fontId="4" fillId="2" borderId="32" xfId="0" applyFont="1" applyFill="1" applyBorder="1" applyAlignment="1">
      <alignment horizontal="center" vertical="center" wrapText="1"/>
    </xf>
    <xf numFmtId="0" fontId="0" fillId="9" borderId="24" xfId="0" applyFill="1" applyBorder="1">
      <alignment/>
    </xf>
    <xf numFmtId="0" fontId="4" fillId="2" borderId="39" xfId="0" applyFont="1" applyFill="1" applyBorder="1" applyAlignment="1">
      <alignment horizontal="center" vertical="center" wrapText="1"/>
    </xf>
    <xf numFmtId="165" fontId="0" fillId="0" borderId="0" xfId="0" applyNumberFormat="1">
      <alignment/>
    </xf>
    <xf numFmtId="169" fontId="0" fillId="0" borderId="0" xfId="0" applyNumberFormat="1">
      <alignment/>
    </xf>
    <xf numFmtId="2" fontId="0" fillId="0" borderId="0" xfId="0" applyNumberFormat="1">
      <alignment/>
    </xf>
    <xf numFmtId="0" fontId="0" fillId="3" borderId="14" xfId="0" applyFill="1" applyBorder="1" applyAlignment="1" applyProtection="1">
      <alignment horizontal="center"/>
      <protection locked="0"/>
    </xf>
    <xf numFmtId="49" fontId="0" fillId="3" borderId="15" xfId="0" applyNumberFormat="1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39" fontId="0" fillId="2" borderId="14" xfId="7" applyNumberFormat="1" applyFont="1" applyFill="1" applyBorder="1" applyAlignment="1" applyProtection="1">
      <alignment horizontal="center"/>
      <protection/>
    </xf>
    <xf numFmtId="171" fontId="0" fillId="2" borderId="24" xfId="6" applyNumberFormat="1" applyFont="1" applyFill="1" applyBorder="1" applyAlignment="1" applyProtection="1">
      <alignment horizontal="center"/>
      <protection/>
    </xf>
    <xf numFmtId="1" fontId="0" fillId="2" borderId="14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169" fontId="0" fillId="2" borderId="0" xfId="0" applyNumberFormat="1" applyFill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2" borderId="24" xfId="0" applyNumberForma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2" borderId="17" xfId="0" applyNumberForma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2" fillId="2" borderId="40" xfId="0" applyFont="1" applyFill="1" applyBorder="1" applyAlignment="1">
      <alignment horizontal="right"/>
    </xf>
    <xf numFmtId="0" fontId="2" fillId="2" borderId="41" xfId="0" applyFont="1" applyFill="1" applyBorder="1" applyAlignment="1">
      <alignment horizontal="right"/>
    </xf>
    <xf numFmtId="0" fontId="2" fillId="2" borderId="40" xfId="0" applyFont="1" applyFill="1" applyBorder="1" applyAlignment="1">
      <alignment horizontal="center"/>
    </xf>
    <xf numFmtId="2" fontId="5" fillId="2" borderId="42" xfId="0" applyNumberFormat="1" applyFont="1" applyFill="1" applyBorder="1" applyAlignment="1" quotePrefix="1">
      <alignment horizontal="center" vertical="center"/>
    </xf>
    <xf numFmtId="0" fontId="0" fillId="0" borderId="42" xfId="0" applyBorder="1">
      <alignment/>
    </xf>
    <xf numFmtId="0" fontId="0" fillId="0" borderId="42" xfId="0" applyBorder="1" applyAlignment="1" quotePrefix="1">
      <alignment horizontal="center"/>
    </xf>
    <xf numFmtId="0" fontId="0" fillId="8" borderId="42" xfId="0" applyFill="1" applyBorder="1" applyAlignment="1">
      <alignment horizontal="center"/>
    </xf>
    <xf numFmtId="0" fontId="0" fillId="5" borderId="42" xfId="0" applyFill="1" applyBorder="1" applyAlignment="1" quotePrefix="1">
      <alignment horizontal="center"/>
    </xf>
    <xf numFmtId="0" fontId="0" fillId="0" borderId="43" xfId="0" applyBorder="1" applyAlignment="1" quotePrefix="1">
      <alignment horizontal="center"/>
    </xf>
    <xf numFmtId="49" fontId="5" fillId="3" borderId="44" xfId="0" applyNumberFormat="1" applyFont="1" applyFill="1" applyBorder="1" applyAlignment="1" applyProtection="1">
      <alignment horizontal="center" vertical="center"/>
      <protection locked="0"/>
    </xf>
    <xf numFmtId="0" fontId="5" fillId="5" borderId="44" xfId="0" applyFont="1" applyFill="1" applyBorder="1" applyAlignment="1" applyProtection="1">
      <alignment horizontal="center" vertical="center"/>
      <protection locked="0"/>
    </xf>
    <xf numFmtId="2" fontId="5" fillId="2" borderId="44" xfId="0" applyNumberFormat="1" applyFont="1" applyFill="1" applyBorder="1" applyAlignment="1">
      <alignment horizontal="center" vertical="center"/>
    </xf>
    <xf numFmtId="0" fontId="0" fillId="0" borderId="44" xfId="0" applyBorder="1">
      <alignment/>
    </xf>
    <xf numFmtId="165" fontId="0" fillId="0" borderId="44" xfId="0" applyNumberFormat="1" applyBorder="1">
      <alignment/>
    </xf>
    <xf numFmtId="0" fontId="0" fillId="5" borderId="44" xfId="0" applyFill="1" applyBorder="1">
      <alignment/>
    </xf>
    <xf numFmtId="10" fontId="0" fillId="0" borderId="44" xfId="6" applyNumberFormat="1" applyFont="1" applyBorder="1" applyProtection="1">
      <alignment/>
      <protection/>
    </xf>
    <xf numFmtId="169" fontId="0" fillId="5" borderId="44" xfId="0" applyNumberFormat="1" applyFill="1" applyBorder="1">
      <alignment/>
    </xf>
    <xf numFmtId="2" fontId="0" fillId="0" borderId="45" xfId="0" applyNumberFormat="1" applyBorder="1">
      <alignment/>
    </xf>
    <xf numFmtId="167" fontId="0" fillId="0" borderId="44" xfId="0" applyNumberFormat="1" applyBorder="1">
      <alignment/>
    </xf>
    <xf numFmtId="49" fontId="5" fillId="3" borderId="46" xfId="0" applyNumberFormat="1" applyFont="1" applyFill="1" applyBorder="1" applyAlignment="1" applyProtection="1">
      <alignment horizontal="center" vertical="center"/>
      <protection locked="0"/>
    </xf>
    <xf numFmtId="0" fontId="5" fillId="5" borderId="46" xfId="0" applyFont="1" applyFill="1" applyBorder="1" applyAlignment="1" applyProtection="1">
      <alignment horizontal="center" vertical="center"/>
      <protection locked="0"/>
    </xf>
    <xf numFmtId="2" fontId="5" fillId="2" borderId="46" xfId="0" applyNumberFormat="1" applyFont="1" applyFill="1" applyBorder="1" applyAlignment="1">
      <alignment horizontal="center" vertical="center"/>
    </xf>
    <xf numFmtId="0" fontId="0" fillId="0" borderId="46" xfId="0" applyBorder="1">
      <alignment/>
    </xf>
    <xf numFmtId="167" fontId="0" fillId="0" borderId="46" xfId="0" applyNumberFormat="1" applyBorder="1">
      <alignment/>
    </xf>
    <xf numFmtId="165" fontId="0" fillId="0" borderId="46" xfId="0" applyNumberFormat="1" applyBorder="1">
      <alignment/>
    </xf>
    <xf numFmtId="0" fontId="0" fillId="5" borderId="46" xfId="0" applyFill="1" applyBorder="1">
      <alignment/>
    </xf>
    <xf numFmtId="10" fontId="0" fillId="0" borderId="46" xfId="6" applyNumberFormat="1" applyFont="1" applyBorder="1" applyProtection="1">
      <alignment/>
      <protection/>
    </xf>
    <xf numFmtId="169" fontId="0" fillId="5" borderId="46" xfId="0" applyNumberFormat="1" applyFill="1" applyBorder="1">
      <alignment/>
    </xf>
    <xf numFmtId="2" fontId="0" fillId="0" borderId="47" xfId="0" applyNumberFormat="1" applyBorder="1">
      <alignment/>
    </xf>
    <xf numFmtId="0" fontId="5" fillId="5" borderId="48" xfId="0" applyFont="1" applyFill="1" applyBorder="1" applyAlignment="1" applyProtection="1">
      <alignment horizontal="center" vertical="center"/>
      <protection locked="0"/>
    </xf>
    <xf numFmtId="2" fontId="5" fillId="2" borderId="48" xfId="0" applyNumberFormat="1" applyFont="1" applyFill="1" applyBorder="1" applyAlignment="1">
      <alignment horizontal="center" vertical="center"/>
    </xf>
    <xf numFmtId="0" fontId="0" fillId="0" borderId="48" xfId="0" applyBorder="1">
      <alignment/>
    </xf>
    <xf numFmtId="167" fontId="0" fillId="0" borderId="48" xfId="0" applyNumberFormat="1" applyBorder="1">
      <alignment/>
    </xf>
    <xf numFmtId="165" fontId="0" fillId="0" borderId="48" xfId="0" applyNumberFormat="1" applyBorder="1">
      <alignment/>
    </xf>
    <xf numFmtId="0" fontId="0" fillId="5" borderId="48" xfId="0" applyFill="1" applyBorder="1">
      <alignment/>
    </xf>
    <xf numFmtId="10" fontId="0" fillId="0" borderId="48" xfId="6" applyNumberFormat="1" applyFont="1" applyBorder="1" applyProtection="1">
      <alignment/>
      <protection/>
    </xf>
    <xf numFmtId="169" fontId="0" fillId="5" borderId="48" xfId="0" applyNumberFormat="1" applyFill="1" applyBorder="1">
      <alignment/>
    </xf>
    <xf numFmtId="2" fontId="0" fillId="0" borderId="49" xfId="0" applyNumberFormat="1" applyBorder="1">
      <alignment/>
    </xf>
    <xf numFmtId="165" fontId="0" fillId="0" borderId="42" xfId="0" applyNumberFormat="1" applyBorder="1">
      <alignment/>
    </xf>
    <xf numFmtId="0" fontId="0" fillId="5" borderId="42" xfId="0" applyFill="1" applyBorder="1">
      <alignment/>
    </xf>
    <xf numFmtId="10" fontId="0" fillId="0" borderId="42" xfId="6" applyNumberFormat="1" applyFont="1" applyBorder="1" applyProtection="1">
      <alignment/>
      <protection/>
    </xf>
    <xf numFmtId="169" fontId="0" fillId="5" borderId="42" xfId="0" applyNumberFormat="1" applyFill="1" applyBorder="1">
      <alignment/>
    </xf>
    <xf numFmtId="2" fontId="0" fillId="0" borderId="43" xfId="0" applyNumberFormat="1" applyBorder="1">
      <alignment/>
    </xf>
    <xf numFmtId="49" fontId="5" fillId="3" borderId="44" xfId="0" applyNumberFormat="1" applyFont="1" applyFill="1" applyBorder="1" applyAlignment="1" applyProtection="1">
      <alignment horizontal="center"/>
      <protection locked="0"/>
    </xf>
    <xf numFmtId="49" fontId="5" fillId="3" borderId="46" xfId="0" applyNumberFormat="1" applyFont="1" applyFill="1" applyBorder="1" applyAlignment="1" applyProtection="1">
      <alignment horizontal="center"/>
      <protection locked="0"/>
    </xf>
    <xf numFmtId="49" fontId="5" fillId="3" borderId="48" xfId="0" applyNumberFormat="1" applyFont="1" applyFill="1" applyBorder="1" applyAlignment="1" applyProtection="1">
      <alignment horizontal="center"/>
      <protection locked="0"/>
    </xf>
    <xf numFmtId="0" fontId="19" fillId="2" borderId="0" xfId="0" applyFont="1" applyFill="1">
      <alignment/>
    </xf>
    <xf numFmtId="0" fontId="0" fillId="3" borderId="17" xfId="0" applyFill="1" applyBorder="1" applyAlignment="1" applyProtection="1">
      <alignment horizontal="center"/>
      <protection locked="0"/>
    </xf>
    <xf numFmtId="39" fontId="0" fillId="2" borderId="17" xfId="7" applyNumberFormat="1" applyFont="1" applyFill="1" applyBorder="1" applyAlignment="1" applyProtection="1">
      <alignment horizontal="center"/>
      <protection/>
    </xf>
    <xf numFmtId="10" fontId="0" fillId="2" borderId="17" xfId="6" applyNumberFormat="1" applyFont="1" applyFill="1" applyBorder="1" applyAlignment="1" applyProtection="1">
      <alignment horizontal="center"/>
      <protection/>
    </xf>
    <xf numFmtId="0" fontId="0" fillId="2" borderId="50" xfId="0" applyFill="1" applyBorder="1">
      <alignment/>
    </xf>
    <xf numFmtId="0" fontId="19" fillId="2" borderId="0" xfId="0" applyFont="1" applyFill="1" applyAlignment="1">
      <alignment horizontal="center"/>
    </xf>
    <xf numFmtId="170" fontId="0" fillId="2" borderId="24" xfId="6" applyNumberFormat="1" applyFont="1" applyFill="1" applyBorder="1" applyProtection="1">
      <alignment/>
      <protection/>
    </xf>
    <xf numFmtId="169" fontId="0" fillId="2" borderId="14" xfId="0" applyNumberFormat="1" applyFill="1" applyBorder="1">
      <alignment/>
    </xf>
    <xf numFmtId="0" fontId="15" fillId="2" borderId="0" xfId="0" applyFont="1" applyFill="1" applyAlignment="1">
      <alignment horizontal="center"/>
    </xf>
    <xf numFmtId="169" fontId="0" fillId="2" borderId="17" xfId="0" applyNumberFormat="1" applyFill="1" applyBorder="1">
      <alignment/>
    </xf>
    <xf numFmtId="1" fontId="0" fillId="2" borderId="14" xfId="0" applyNumberFormat="1" applyFill="1" applyBorder="1" applyAlignment="1">
      <alignment horizontal="right"/>
    </xf>
    <xf numFmtId="164" fontId="0" fillId="2" borderId="14" xfId="7" applyFont="1" applyFill="1" applyBorder="1" applyProtection="1">
      <alignment/>
      <protection/>
    </xf>
    <xf numFmtId="2" fontId="0" fillId="5" borderId="1" xfId="0" applyNumberFormat="1" applyFill="1" applyBorder="1">
      <alignment/>
    </xf>
    <xf numFmtId="164" fontId="0" fillId="2" borderId="0" xfId="7" applyFont="1" applyFill="1" applyProtection="1">
      <alignment/>
      <protection/>
    </xf>
    <xf numFmtId="2" fontId="0" fillId="2" borderId="14" xfId="0" applyNumberFormat="1" applyFill="1" applyBorder="1">
      <alignment/>
    </xf>
    <xf numFmtId="0" fontId="5" fillId="2" borderId="32" xfId="0" applyFont="1" applyFill="1" applyBorder="1" applyAlignment="1">
      <alignment horizontal="center" vertical="center" wrapText="1"/>
    </xf>
    <xf numFmtId="0" fontId="0" fillId="10" borderId="51" xfId="0" applyFill="1" applyBorder="1">
      <alignment/>
    </xf>
    <xf numFmtId="0" fontId="5" fillId="2" borderId="39" xfId="0" applyFont="1" applyFill="1" applyBorder="1" applyAlignment="1">
      <alignment horizontal="center" vertical="center" wrapText="1"/>
    </xf>
    <xf numFmtId="0" fontId="0" fillId="5" borderId="0" xfId="0" applyFill="1">
      <alignment/>
    </xf>
    <xf numFmtId="49" fontId="0" fillId="5" borderId="52" xfId="0" applyNumberFormat="1" applyFill="1" applyBorder="1">
      <alignment/>
    </xf>
    <xf numFmtId="49" fontId="0" fillId="5" borderId="53" xfId="0" applyNumberFormat="1" applyFill="1" applyBorder="1">
      <alignment/>
    </xf>
    <xf numFmtId="49" fontId="0" fillId="5" borderId="39" xfId="0" applyNumberFormat="1" applyFill="1" applyBorder="1" applyAlignment="1">
      <alignment horizontal="center"/>
    </xf>
    <xf numFmtId="0" fontId="5" fillId="4" borderId="10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 quotePrefix="1">
      <alignment horizontal="center" vertical="center"/>
    </xf>
    <xf numFmtId="49" fontId="5" fillId="4" borderId="8" xfId="0" applyNumberFormat="1" applyFont="1" applyFill="1" applyBorder="1" applyAlignment="1">
      <alignment horizontal="center" vertical="center"/>
    </xf>
    <xf numFmtId="167" fontId="5" fillId="2" borderId="8" xfId="0" applyNumberFormat="1" applyFont="1" applyFill="1" applyBorder="1" applyAlignment="1" quotePrefix="1">
      <alignment horizontal="center" vertical="center"/>
    </xf>
    <xf numFmtId="49" fontId="5" fillId="5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 quotePrefix="1">
      <alignment horizontal="center" vertical="center"/>
    </xf>
    <xf numFmtId="169" fontId="5" fillId="2" borderId="8" xfId="0" applyNumberFormat="1" applyFont="1" applyFill="1" applyBorder="1" applyAlignment="1" quotePrefix="1">
      <alignment horizontal="center" vertical="center"/>
    </xf>
    <xf numFmtId="169" fontId="5" fillId="2" borderId="7" xfId="0" applyNumberFormat="1" applyFont="1" applyFill="1" applyBorder="1" applyAlignment="1" quotePrefix="1">
      <alignment horizontal="center" vertical="center"/>
    </xf>
    <xf numFmtId="49" fontId="0" fillId="5" borderId="0" xfId="0" applyNumberFormat="1" applyFill="1">
      <alignment/>
    </xf>
    <xf numFmtId="0" fontId="5" fillId="5" borderId="54" xfId="0" applyFont="1" applyFill="1" applyBorder="1" applyAlignment="1">
      <alignment horizontal="center" vertical="center"/>
    </xf>
    <xf numFmtId="0" fontId="0" fillId="5" borderId="55" xfId="0" applyFill="1" applyBorder="1">
      <alignment/>
    </xf>
    <xf numFmtId="49" fontId="0" fillId="5" borderId="54" xfId="0" applyNumberFormat="1" applyFill="1" applyBorder="1">
      <alignment/>
    </xf>
    <xf numFmtId="49" fontId="0" fillId="5" borderId="55" xfId="0" applyNumberFormat="1" applyFill="1" applyBorder="1">
      <alignment/>
    </xf>
    <xf numFmtId="49" fontId="0" fillId="5" borderId="0" xfId="0" applyNumberFormat="1" applyFill="1" applyAlignment="1">
      <alignment horizontal="center"/>
    </xf>
    <xf numFmtId="49" fontId="5" fillId="2" borderId="3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167" fontId="5" fillId="2" borderId="1" xfId="0" applyNumberFormat="1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/>
    </xf>
    <xf numFmtId="169" fontId="5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/>
    </xf>
    <xf numFmtId="164" fontId="5" fillId="2" borderId="5" xfId="7" applyFont="1" applyFill="1" applyBorder="1" applyAlignment="1" applyProtection="1">
      <alignment horizontal="right" vertical="center"/>
      <protection/>
    </xf>
    <xf numFmtId="2" fontId="5" fillId="2" borderId="13" xfId="0" applyNumberFormat="1" applyFont="1" applyFill="1" applyBorder="1" applyAlignment="1">
      <alignment horizontal="center" vertical="center"/>
    </xf>
    <xf numFmtId="167" fontId="5" fillId="2" borderId="13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 applyAlignment="1">
      <alignment horizontal="center" vertical="center"/>
    </xf>
    <xf numFmtId="169" fontId="5" fillId="2" borderId="13" xfId="0" applyNumberFormat="1" applyFont="1" applyFill="1" applyBorder="1" applyAlignment="1">
      <alignment horizontal="right" vertical="center"/>
    </xf>
    <xf numFmtId="2" fontId="5" fillId="2" borderId="13" xfId="0" applyNumberFormat="1" applyFont="1" applyFill="1" applyBorder="1" applyAlignment="1">
      <alignment horizontal="right" vertical="center"/>
    </xf>
    <xf numFmtId="164" fontId="5" fillId="2" borderId="12" xfId="7" applyFont="1" applyFill="1" applyBorder="1" applyAlignment="1" applyProtection="1">
      <alignment horizontal="right" vertical="center"/>
      <protection/>
    </xf>
    <xf numFmtId="49" fontId="5" fillId="2" borderId="10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167" fontId="5" fillId="2" borderId="8" xfId="0" applyNumberFormat="1" applyFont="1" applyFill="1" applyBorder="1" applyAlignment="1">
      <alignment horizontal="center" vertical="center"/>
    </xf>
    <xf numFmtId="169" fontId="5" fillId="2" borderId="8" xfId="0" applyNumberFormat="1" applyFont="1" applyFill="1" applyBorder="1" applyAlignment="1">
      <alignment horizontal="right" vertical="center"/>
    </xf>
    <xf numFmtId="2" fontId="5" fillId="2" borderId="8" xfId="0" applyNumberFormat="1" applyFont="1" applyFill="1" applyBorder="1" applyAlignment="1">
      <alignment horizontal="right" vertical="center"/>
    </xf>
    <xf numFmtId="164" fontId="5" fillId="2" borderId="7" xfId="7" applyFont="1" applyFill="1" applyBorder="1" applyAlignment="1" applyProtection="1">
      <alignment horizontal="right" vertical="center"/>
      <protection/>
    </xf>
    <xf numFmtId="49" fontId="0" fillId="5" borderId="56" xfId="0" applyNumberFormat="1" applyFill="1" applyBorder="1">
      <alignment/>
    </xf>
    <xf numFmtId="49" fontId="0" fillId="5" borderId="57" xfId="0" applyNumberFormat="1" applyFill="1" applyBorder="1">
      <alignment/>
    </xf>
    <xf numFmtId="49" fontId="0" fillId="5" borderId="30" xfId="0" applyNumberFormat="1" applyFill="1" applyBorder="1">
      <alignment/>
    </xf>
    <xf numFmtId="2" fontId="5" fillId="2" borderId="9" xfId="0" applyNumberFormat="1" applyFont="1" applyFill="1" applyBorder="1" applyAlignment="1">
      <alignment horizontal="center" vertical="center"/>
    </xf>
    <xf numFmtId="167" fontId="5" fillId="2" borderId="9" xfId="0" applyNumberFormat="1" applyFont="1" applyFill="1" applyBorder="1" applyAlignment="1">
      <alignment horizontal="center" vertical="center"/>
    </xf>
    <xf numFmtId="49" fontId="5" fillId="5" borderId="9" xfId="0" applyNumberFormat="1" applyFont="1" applyFill="1" applyBorder="1" applyAlignment="1">
      <alignment horizontal="center" vertical="center"/>
    </xf>
    <xf numFmtId="16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horizontal="right" vertical="center"/>
    </xf>
    <xf numFmtId="164" fontId="5" fillId="2" borderId="6" xfId="7" applyFont="1" applyFill="1" applyBorder="1" applyAlignment="1" applyProtection="1">
      <alignment horizontal="right" vertical="center"/>
      <protection/>
    </xf>
    <xf numFmtId="0" fontId="0" fillId="5" borderId="57" xfId="0" applyFill="1" applyBorder="1">
      <alignment/>
    </xf>
    <xf numFmtId="0" fontId="5" fillId="2" borderId="0" xfId="0" applyFont="1" applyFill="1">
      <alignment/>
    </xf>
    <xf numFmtId="0" fontId="0" fillId="0" borderId="58" xfId="0" applyBorder="1">
      <alignment/>
    </xf>
    <xf numFmtId="167" fontId="5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9" fontId="5" fillId="2" borderId="0" xfId="0" applyNumberFormat="1" applyFont="1" applyFill="1" applyAlignment="1">
      <alignment horizontal="right" vertical="center"/>
    </xf>
    <xf numFmtId="2" fontId="5" fillId="2" borderId="0" xfId="0" applyNumberFormat="1" applyFont="1" applyFill="1" applyAlignment="1">
      <alignment horizontal="right" vertical="center"/>
    </xf>
    <xf numFmtId="164" fontId="5" fillId="2" borderId="59" xfId="7" applyFont="1" applyFill="1" applyBorder="1" applyAlignment="1" applyProtection="1">
      <alignment horizontal="right" vertical="center"/>
      <protection/>
    </xf>
    <xf numFmtId="49" fontId="0" fillId="4" borderId="15" xfId="0" applyNumberFormat="1" applyFill="1" applyBorder="1" applyAlignment="1" applyProtection="1">
      <alignment horizontal="center"/>
      <protection locked="0"/>
    </xf>
    <xf numFmtId="0" fontId="0" fillId="3" borderId="25" xfId="0" applyFill="1" applyBorder="1">
      <alignment/>
    </xf>
    <xf numFmtId="0" fontId="0" fillId="5" borderId="60" xfId="0" applyFill="1" applyBorder="1">
      <alignment/>
    </xf>
    <xf numFmtId="164" fontId="0" fillId="2" borderId="17" xfId="7" applyFont="1" applyFill="1" applyBorder="1" applyProtection="1">
      <alignment/>
      <protection/>
    </xf>
    <xf numFmtId="0" fontId="0" fillId="2" borderId="14" xfId="0" applyFill="1" applyBorder="1">
      <alignment/>
    </xf>
    <xf numFmtId="170" fontId="0" fillId="2" borderId="14" xfId="6" applyNumberFormat="1" applyFont="1" applyFill="1" applyBorder="1" applyProtection="1">
      <alignment/>
      <protection/>
    </xf>
    <xf numFmtId="164" fontId="0" fillId="2" borderId="0" xfId="7" applyFont="1" applyFill="1" applyProtection="1">
      <alignment/>
      <protection/>
    </xf>
    <xf numFmtId="0" fontId="5" fillId="2" borderId="30" xfId="0" applyFont="1" applyFill="1" applyBorder="1" applyAlignment="1">
      <alignment horizontal="center" vertical="center" wrapText="1"/>
    </xf>
    <xf numFmtId="0" fontId="0" fillId="11" borderId="51" xfId="0" applyFill="1" applyBorder="1">
      <alignment/>
    </xf>
    <xf numFmtId="0" fontId="0" fillId="4" borderId="0" xfId="0" applyFill="1">
      <alignment/>
    </xf>
    <xf numFmtId="165" fontId="5" fillId="2" borderId="8" xfId="0" applyNumberFormat="1" applyFont="1" applyFill="1" applyBorder="1" applyAlignment="1">
      <alignment horizontal="center" vertical="center"/>
    </xf>
    <xf numFmtId="167" fontId="5" fillId="2" borderId="8" xfId="0" applyNumberFormat="1" applyFont="1" applyFill="1" applyBorder="1" applyAlignment="1">
      <alignment horizontal="right" vertical="center"/>
    </xf>
    <xf numFmtId="49" fontId="0" fillId="4" borderId="0" xfId="0" applyNumberFormat="1" applyFill="1">
      <alignment/>
    </xf>
    <xf numFmtId="165" fontId="5" fillId="2" borderId="1" xfId="0" applyNumberFormat="1" applyFont="1" applyFill="1" applyBorder="1" applyAlignment="1">
      <alignment horizontal="center" vertical="center"/>
    </xf>
    <xf numFmtId="167" fontId="5" fillId="2" borderId="1" xfId="0" applyNumberFormat="1" applyFont="1" applyFill="1" applyBorder="1" applyAlignment="1">
      <alignment horizontal="right" vertical="center"/>
    </xf>
    <xf numFmtId="165" fontId="5" fillId="2" borderId="9" xfId="0" applyNumberFormat="1" applyFont="1" applyFill="1" applyBorder="1" applyAlignment="1">
      <alignment horizontal="center" vertical="center"/>
    </xf>
    <xf numFmtId="167" fontId="5" fillId="2" borderId="9" xfId="0" applyNumberFormat="1" applyFont="1" applyFill="1" applyBorder="1" applyAlignment="1">
      <alignment horizontal="right" vertical="center"/>
    </xf>
    <xf numFmtId="165" fontId="0" fillId="2" borderId="0" xfId="0" applyNumberFormat="1" applyFill="1">
      <alignment/>
    </xf>
    <xf numFmtId="0" fontId="5" fillId="2" borderId="0" xfId="0" applyFont="1" applyFill="1" applyAlignment="1">
      <alignment horizontal="right" vertical="center"/>
    </xf>
    <xf numFmtId="172" fontId="5" fillId="2" borderId="0" xfId="0" applyNumberFormat="1" applyFont="1" applyFill="1" applyAlignment="1">
      <alignment horizontal="right" vertical="center"/>
    </xf>
    <xf numFmtId="167" fontId="5" fillId="2" borderId="0" xfId="0" applyNumberFormat="1" applyFont="1" applyFill="1" applyAlignment="1">
      <alignment horizontal="right" vertical="center"/>
    </xf>
    <xf numFmtId="164" fontId="5" fillId="2" borderId="0" xfId="7" applyFont="1" applyFill="1" applyBorder="1" applyAlignment="1" applyProtection="1">
      <alignment horizontal="right" vertical="center"/>
      <protection/>
    </xf>
    <xf numFmtId="0" fontId="7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165" fontId="0" fillId="2" borderId="0" xfId="0" applyNumberFormat="1" applyFill="1" applyAlignment="1">
      <alignment horizontal="center"/>
    </xf>
    <xf numFmtId="0" fontId="0" fillId="5" borderId="1" xfId="0" applyFont="1" applyFill="1" applyBorder="1">
      <alignment/>
    </xf>
    <xf numFmtId="0" fontId="2" fillId="2" borderId="19" xfId="0" applyFont="1" applyFill="1" applyBorder="1" applyAlignment="1">
      <alignment horizontal="left"/>
    </xf>
    <xf numFmtId="0" fontId="2" fillId="2" borderId="22" xfId="0" applyFont="1" applyFill="1" applyBorder="1" applyAlignment="1">
      <alignment horizontal="left"/>
    </xf>
    <xf numFmtId="0" fontId="2" fillId="2" borderId="41" xfId="0" applyFont="1" applyFill="1" applyBorder="1" applyAlignment="1">
      <alignment horizontal="center"/>
    </xf>
    <xf numFmtId="166" fontId="2" fillId="2" borderId="14" xfId="6" applyNumberFormat="1" applyFont="1" applyFill="1" applyBorder="1" applyAlignment="1" applyProtection="1">
      <alignment horizontal="center"/>
      <protection/>
    </xf>
    <xf numFmtId="0" fontId="9" fillId="2" borderId="19" xfId="0" applyFont="1" applyFill="1" applyBorder="1" applyAlignment="1">
      <alignment horizontal="center"/>
    </xf>
    <xf numFmtId="0" fontId="9" fillId="2" borderId="40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0" fillId="0" borderId="18" xfId="0" applyBorder="1">
      <alignment/>
    </xf>
    <xf numFmtId="0" fontId="0" fillId="0" borderId="21" xfId="0" applyBorder="1">
      <alignment/>
    </xf>
    <xf numFmtId="0" fontId="0" fillId="2" borderId="18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0" borderId="0" xfId="0" applyFont="1">
      <alignment/>
    </xf>
    <xf numFmtId="0" fontId="0" fillId="0" borderId="0" xfId="0" applyFont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>
      <alignment/>
    </xf>
    <xf numFmtId="0" fontId="0" fillId="8" borderId="44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46" xfId="0" applyFill="1" applyBorder="1" applyAlignment="1">
      <alignment horizontal="center"/>
    </xf>
    <xf numFmtId="0" fontId="0" fillId="8" borderId="48" xfId="0" applyFill="1" applyBorder="1" applyAlignment="1">
      <alignment horizontal="center"/>
    </xf>
    <xf numFmtId="0" fontId="0" fillId="5" borderId="44" xfId="0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Alignment="1">
      <alignment horizontal="center" vertical="center" wrapText="1"/>
    </xf>
    <xf numFmtId="0" fontId="0" fillId="5" borderId="44" xfId="0" applyFont="1" applyFill="1" applyBorder="1" applyAlignment="1">
      <alignment horizontal="center" vertical="center"/>
    </xf>
    <xf numFmtId="2" fontId="5" fillId="2" borderId="62" xfId="0" applyNumberFormat="1" applyFont="1" applyFill="1" applyBorder="1" applyAlignment="1" quotePrefix="1">
      <alignment horizontal="center" vertical="center"/>
    </xf>
    <xf numFmtId="1" fontId="5" fillId="2" borderId="63" xfId="0" applyNumberFormat="1" applyFont="1" applyFill="1" applyBorder="1" applyAlignment="1">
      <alignment horizontal="center" vertical="center"/>
    </xf>
    <xf numFmtId="1" fontId="0" fillId="3" borderId="64" xfId="0" applyNumberFormat="1" applyFont="1" applyFill="1" applyBorder="1" applyAlignment="1" applyProtection="1">
      <alignment horizontal="center" vertical="center"/>
      <protection locked="0"/>
    </xf>
    <xf numFmtId="1" fontId="0" fillId="3" borderId="47" xfId="0" applyNumberFormat="1" applyFont="1" applyFill="1" applyBorder="1" applyAlignment="1" applyProtection="1">
      <alignment horizontal="center" vertical="center"/>
      <protection locked="0"/>
    </xf>
    <xf numFmtId="1" fontId="0" fillId="3" borderId="65" xfId="0" applyNumberFormat="1" applyFont="1" applyFill="1" applyBorder="1" applyAlignment="1" applyProtection="1">
      <alignment horizontal="center" vertical="center"/>
      <protection locked="0"/>
    </xf>
    <xf numFmtId="1" fontId="5" fillId="3" borderId="64" xfId="0" applyNumberFormat="1" applyFont="1" applyFill="1" applyBorder="1" applyAlignment="1" applyProtection="1">
      <alignment horizontal="center" vertical="center"/>
      <protection locked="0"/>
    </xf>
    <xf numFmtId="1" fontId="5" fillId="3" borderId="47" xfId="0" applyNumberFormat="1" applyFont="1" applyFill="1" applyBorder="1" applyAlignment="1" applyProtection="1">
      <alignment horizontal="center" vertical="center"/>
      <protection locked="0"/>
    </xf>
    <xf numFmtId="1" fontId="5" fillId="3" borderId="66" xfId="0" applyNumberFormat="1" applyFont="1" applyFill="1" applyBorder="1" applyAlignment="1" applyProtection="1">
      <alignment horizontal="center" vertical="center"/>
      <protection locked="0"/>
    </xf>
    <xf numFmtId="1" fontId="5" fillId="3" borderId="67" xfId="0" applyNumberFormat="1" applyFont="1" applyFill="1" applyBorder="1" applyAlignment="1" applyProtection="1">
      <alignment horizontal="center" vertical="center"/>
      <protection locked="0"/>
    </xf>
    <xf numFmtId="1" fontId="5" fillId="3" borderId="63" xfId="0" applyNumberFormat="1" applyFont="1" applyFill="1" applyBorder="1" applyAlignment="1" applyProtection="1">
      <alignment horizontal="center"/>
      <protection locked="0"/>
    </xf>
    <xf numFmtId="1" fontId="5" fillId="3" borderId="45" xfId="0" applyNumberFormat="1" applyFont="1" applyFill="1" applyBorder="1" applyAlignment="1" applyProtection="1">
      <alignment horizontal="center"/>
      <protection locked="0"/>
    </xf>
    <xf numFmtId="1" fontId="5" fillId="3" borderId="64" xfId="0" applyNumberFormat="1" applyFont="1" applyFill="1" applyBorder="1" applyAlignment="1" applyProtection="1">
      <alignment horizontal="center"/>
      <protection locked="0"/>
    </xf>
    <xf numFmtId="1" fontId="5" fillId="3" borderId="47" xfId="0" applyNumberFormat="1" applyFont="1" applyFill="1" applyBorder="1" applyAlignment="1" applyProtection="1">
      <alignment horizontal="center"/>
      <protection locked="0"/>
    </xf>
    <xf numFmtId="1" fontId="5" fillId="3" borderId="43" xfId="0" applyNumberFormat="1" applyFont="1" applyFill="1" applyBorder="1" applyAlignment="1" applyProtection="1">
      <alignment horizontal="center"/>
      <protection locked="0"/>
    </xf>
    <xf numFmtId="1" fontId="5" fillId="3" borderId="65" xfId="0" applyNumberFormat="1" applyFont="1" applyFill="1" applyBorder="1" applyAlignment="1" applyProtection="1">
      <alignment horizontal="center"/>
      <protection locked="0"/>
    </xf>
    <xf numFmtId="1" fontId="5" fillId="3" borderId="66" xfId="0" applyNumberFormat="1" applyFont="1" applyFill="1" applyBorder="1" applyAlignment="1" applyProtection="1">
      <alignment horizontal="center"/>
      <protection locked="0"/>
    </xf>
    <xf numFmtId="1" fontId="5" fillId="3" borderId="68" xfId="0" applyNumberFormat="1" applyFont="1" applyFill="1" applyBorder="1" applyAlignment="1" applyProtection="1">
      <alignment horizontal="center"/>
      <protection locked="0"/>
    </xf>
    <xf numFmtId="2" fontId="0" fillId="3" borderId="44" xfId="0" applyNumberFormat="1" applyFill="1" applyBorder="1" applyAlignment="1" applyProtection="1">
      <alignment horizontal="center"/>
      <protection locked="0"/>
    </xf>
    <xf numFmtId="2" fontId="0" fillId="3" borderId="46" xfId="0" applyNumberFormat="1" applyFill="1" applyBorder="1" applyAlignment="1" applyProtection="1">
      <alignment horizontal="center"/>
      <protection locked="0"/>
    </xf>
    <xf numFmtId="2" fontId="5" fillId="3" borderId="44" xfId="0" applyNumberFormat="1" applyFont="1" applyFill="1" applyBorder="1" applyAlignment="1" applyProtection="1">
      <alignment horizontal="center" vertical="center"/>
      <protection locked="0"/>
    </xf>
    <xf numFmtId="2" fontId="5" fillId="3" borderId="46" xfId="0" applyNumberFormat="1" applyFont="1" applyFill="1" applyBorder="1" applyAlignment="1" applyProtection="1">
      <alignment horizontal="center" vertical="center"/>
      <protection locked="0"/>
    </xf>
    <xf numFmtId="2" fontId="5" fillId="3" borderId="48" xfId="0" applyNumberFormat="1" applyFont="1" applyFill="1" applyBorder="1" applyAlignment="1" applyProtection="1">
      <alignment horizontal="center" vertical="center"/>
      <protection locked="0"/>
    </xf>
    <xf numFmtId="169" fontId="0" fillId="3" borderId="44" xfId="0" applyNumberFormat="1" applyFont="1" applyFill="1" applyBorder="1" applyAlignment="1" applyProtection="1">
      <alignment horizontal="center" vertical="center"/>
      <protection locked="0"/>
    </xf>
    <xf numFmtId="169" fontId="0" fillId="3" borderId="46" xfId="0" applyNumberFormat="1" applyFont="1" applyFill="1" applyBorder="1" applyAlignment="1" applyProtection="1">
      <alignment horizontal="center" vertical="center"/>
      <protection locked="0"/>
    </xf>
    <xf numFmtId="169" fontId="5" fillId="3" borderId="44" xfId="0" applyNumberFormat="1" applyFont="1" applyFill="1" applyBorder="1" applyAlignment="1" applyProtection="1">
      <alignment horizontal="center" vertical="center"/>
      <protection locked="0"/>
    </xf>
    <xf numFmtId="169" fontId="5" fillId="3" borderId="46" xfId="0" applyNumberFormat="1" applyFont="1" applyFill="1" applyBorder="1" applyAlignment="1" applyProtection="1">
      <alignment horizontal="center" vertical="center"/>
      <protection locked="0"/>
    </xf>
    <xf numFmtId="169" fontId="5" fillId="3" borderId="44" xfId="0" applyNumberFormat="1" applyFont="1" applyFill="1" applyBorder="1" applyAlignment="1" applyProtection="1">
      <alignment horizontal="center"/>
      <protection locked="0"/>
    </xf>
    <xf numFmtId="169" fontId="5" fillId="3" borderId="46" xfId="0" applyNumberFormat="1" applyFont="1" applyFill="1" applyBorder="1" applyAlignment="1" applyProtection="1">
      <alignment horizontal="center"/>
      <protection locked="0"/>
    </xf>
    <xf numFmtId="169" fontId="5" fillId="3" borderId="48" xfId="0" applyNumberFormat="1" applyFont="1" applyFill="1" applyBorder="1" applyAlignment="1" applyProtection="1">
      <alignment horizontal="center"/>
      <protection locked="0"/>
    </xf>
    <xf numFmtId="0" fontId="0" fillId="3" borderId="63" xfId="0" applyFont="1" applyFill="1" applyBorder="1" applyAlignment="1" applyProtection="1">
      <alignment horizontal="center" vertical="center"/>
      <protection locked="0"/>
    </xf>
    <xf numFmtId="167" fontId="21" fillId="0" borderId="36" xfId="0" applyNumberFormat="1" applyFont="1" applyBorder="1">
      <alignment/>
    </xf>
    <xf numFmtId="167" fontId="21" fillId="0" borderId="37" xfId="0" applyNumberFormat="1" applyFont="1" applyBorder="1">
      <alignment/>
    </xf>
    <xf numFmtId="167" fontId="21" fillId="0" borderId="35" xfId="0" applyNumberFormat="1" applyFont="1" applyBorder="1">
      <alignment/>
    </xf>
    <xf numFmtId="1" fontId="5" fillId="3" borderId="63" xfId="0" applyNumberFormat="1" applyFont="1" applyFill="1" applyBorder="1" applyAlignment="1" applyProtection="1">
      <alignment horizontal="center" vertical="center"/>
      <protection locked="0"/>
    </xf>
    <xf numFmtId="169" fontId="5" fillId="3" borderId="42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>
      <alignment/>
    </xf>
    <xf numFmtId="0" fontId="22" fillId="2" borderId="0" xfId="0" applyFont="1" applyFill="1">
      <alignment/>
    </xf>
    <xf numFmtId="0" fontId="22" fillId="5" borderId="0" xfId="0" applyFont="1" applyFill="1">
      <alignment/>
    </xf>
    <xf numFmtId="49" fontId="22" fillId="5" borderId="0" xfId="0" applyNumberFormat="1" applyFont="1" applyFill="1">
      <alignment/>
    </xf>
    <xf numFmtId="165" fontId="22" fillId="5" borderId="0" xfId="0" applyNumberFormat="1" applyFont="1" applyFill="1">
      <alignment/>
    </xf>
    <xf numFmtId="0" fontId="22" fillId="0" borderId="69" xfId="0" applyFont="1" applyBorder="1">
      <alignment/>
    </xf>
    <xf numFmtId="0" fontId="22" fillId="0" borderId="70" xfId="0" applyFont="1" applyBorder="1">
      <alignment/>
    </xf>
    <xf numFmtId="0" fontId="22" fillId="0" borderId="71" xfId="0" applyFont="1" applyBorder="1">
      <alignment/>
    </xf>
    <xf numFmtId="0" fontId="22" fillId="0" borderId="72" xfId="0" applyFont="1" applyBorder="1">
      <alignment/>
    </xf>
    <xf numFmtId="0" fontId="22" fillId="0" borderId="73" xfId="0" applyFont="1" applyBorder="1">
      <alignment/>
    </xf>
    <xf numFmtId="0" fontId="22" fillId="0" borderId="74" xfId="0" applyFont="1" applyBorder="1">
      <alignment/>
    </xf>
    <xf numFmtId="0" fontId="22" fillId="5" borderId="73" xfId="0" applyFont="1" applyFill="1" applyBorder="1">
      <alignment/>
    </xf>
    <xf numFmtId="0" fontId="22" fillId="5" borderId="75" xfId="0" applyFont="1" applyFill="1" applyBorder="1">
      <alignment/>
    </xf>
    <xf numFmtId="2" fontId="22" fillId="5" borderId="73" xfId="0" applyNumberFormat="1" applyFont="1" applyFill="1" applyBorder="1">
      <alignment/>
    </xf>
    <xf numFmtId="2" fontId="22" fillId="5" borderId="75" xfId="0" applyNumberFormat="1" applyFont="1" applyFill="1" applyBorder="1">
      <alignment/>
    </xf>
    <xf numFmtId="0" fontId="22" fillId="0" borderId="76" xfId="0" applyFont="1" applyBorder="1">
      <alignment/>
    </xf>
    <xf numFmtId="0" fontId="22" fillId="0" borderId="77" xfId="0" applyFont="1" applyBorder="1">
      <alignment/>
    </xf>
    <xf numFmtId="0" fontId="22" fillId="0" borderId="78" xfId="0" applyFont="1" applyBorder="1">
      <alignment/>
    </xf>
    <xf numFmtId="0" fontId="23" fillId="12" borderId="73" xfId="0" applyFont="1" applyFill="1" applyBorder="1" applyAlignment="1">
      <alignment horizontal="center" vertical="center" wrapText="1"/>
    </xf>
    <xf numFmtId="0" fontId="22" fillId="0" borderId="73" xfId="0" applyFont="1" applyBorder="1" applyAlignment="1">
      <alignment horizontal="center"/>
    </xf>
    <xf numFmtId="0" fontId="22" fillId="13" borderId="73" xfId="0" applyFont="1" applyFill="1" applyBorder="1" applyAlignment="1">
      <alignment horizontal="center" vertical="center" wrapText="1"/>
    </xf>
    <xf numFmtId="0" fontId="2" fillId="14" borderId="34" xfId="0" applyFont="1" applyFill="1" applyBorder="1">
      <alignment/>
    </xf>
    <xf numFmtId="165" fontId="0" fillId="14" borderId="33" xfId="0" applyNumberFormat="1" applyFill="1" applyBorder="1">
      <alignment/>
    </xf>
    <xf numFmtId="165" fontId="0" fillId="14" borderId="1" xfId="0" applyNumberFormat="1" applyFill="1" applyBorder="1">
      <alignment/>
    </xf>
    <xf numFmtId="165" fontId="0" fillId="14" borderId="34" xfId="0" applyNumberFormat="1" applyFill="1" applyBorder="1">
      <alignment/>
    </xf>
    <xf numFmtId="0" fontId="0" fillId="15" borderId="0" xfId="0" applyFill="1">
      <alignment/>
    </xf>
    <xf numFmtId="0" fontId="25" fillId="15" borderId="0" xfId="0" applyFont="1" applyFill="1" applyAlignment="1">
      <alignment horizontal="center" vertical="center"/>
    </xf>
    <xf numFmtId="0" fontId="1" fillId="0" borderId="0" xfId="0" applyFont="1">
      <alignment/>
    </xf>
    <xf numFmtId="0" fontId="1" fillId="2" borderId="0" xfId="0" applyFont="1" applyFill="1">
      <alignment/>
    </xf>
    <xf numFmtId="0" fontId="1" fillId="0" borderId="70" xfId="0" applyFont="1" applyBorder="1">
      <alignment/>
    </xf>
    <xf numFmtId="0" fontId="1" fillId="0" borderId="71" xfId="0" applyFont="1" applyBorder="1">
      <alignment/>
    </xf>
    <xf numFmtId="0" fontId="1" fillId="0" borderId="74" xfId="0" applyFont="1" applyBorder="1">
      <alignment/>
    </xf>
    <xf numFmtId="0" fontId="1" fillId="0" borderId="73" xfId="0" applyFont="1" applyBorder="1">
      <alignment/>
    </xf>
    <xf numFmtId="0" fontId="1" fillId="5" borderId="73" xfId="0" applyFont="1" applyFill="1" applyBorder="1">
      <alignment/>
    </xf>
    <xf numFmtId="0" fontId="1" fillId="0" borderId="78" xfId="0" applyFont="1" applyBorder="1">
      <alignment/>
    </xf>
    <xf numFmtId="0" fontId="0" fillId="3" borderId="15" xfId="0" applyFont="1" applyFill="1" applyBorder="1" applyAlignment="1" applyProtection="1">
      <alignment horizontal="center"/>
      <protection locked="0"/>
    </xf>
    <xf numFmtId="0" fontId="0" fillId="2" borderId="14" xfId="0" applyFill="1" applyBorder="1" applyAlignment="1">
      <alignment horizontal="center"/>
    </xf>
    <xf numFmtId="0" fontId="0" fillId="2" borderId="14" xfId="0" applyFill="1" applyBorder="1" applyAlignment="1">
      <alignment horizontal="left"/>
    </xf>
    <xf numFmtId="0" fontId="4" fillId="9" borderId="14" xfId="0" applyFont="1" applyFill="1" applyBorder="1" applyAlignment="1">
      <alignment horizontal="center" vertical="center" wrapText="1"/>
    </xf>
    <xf numFmtId="0" fontId="0" fillId="3" borderId="65" xfId="0" applyFont="1" applyFill="1" applyBorder="1" applyAlignment="1" applyProtection="1">
      <alignment horizontal="center" vertical="center"/>
      <protection locked="0"/>
    </xf>
    <xf numFmtId="0" fontId="0" fillId="3" borderId="64" xfId="0" applyFont="1" applyFill="1" applyBorder="1" applyAlignment="1" applyProtection="1">
      <alignment horizontal="center" vertical="center"/>
      <protection locked="0"/>
    </xf>
    <xf numFmtId="0" fontId="0" fillId="16" borderId="0" xfId="0" applyFill="1">
      <alignment/>
    </xf>
    <xf numFmtId="0" fontId="0" fillId="2" borderId="38" xfId="0" applyFont="1" applyFill="1" applyBorder="1" applyProtection="1">
      <alignment/>
      <protection hidden="1"/>
    </xf>
    <xf numFmtId="0" fontId="0" fillId="0" borderId="61" xfId="0" applyBorder="1">
      <alignment/>
    </xf>
    <xf numFmtId="0" fontId="0" fillId="3" borderId="22" xfId="0" applyFill="1" applyBorder="1" applyAlignment="1" applyProtection="1">
      <alignment horizontal="center"/>
      <protection locked="0"/>
    </xf>
    <xf numFmtId="0" fontId="0" fillId="2" borderId="0" xfId="0" applyFont="1" applyFill="1">
      <alignment/>
    </xf>
    <xf numFmtId="0" fontId="0" fillId="2" borderId="0" xfId="0" applyFont="1" applyFill="1" applyAlignment="1">
      <alignment horizontal="center"/>
    </xf>
    <xf numFmtId="14" fontId="0" fillId="4" borderId="28" xfId="0" applyNumberFormat="1" applyFont="1" applyFill="1" applyBorder="1" applyProtection="1">
      <alignment/>
      <protection locked="0"/>
    </xf>
    <xf numFmtId="0" fontId="0" fillId="4" borderId="28" xfId="0" applyFont="1" applyFill="1" applyBorder="1" applyAlignment="1" applyProtection="1">
      <alignment horizontal="center"/>
      <protection locked="0"/>
    </xf>
    <xf numFmtId="0" fontId="0" fillId="2" borderId="17" xfId="0" applyFont="1" applyFill="1" applyBorder="1" applyAlignment="1">
      <alignment horizontal="center"/>
    </xf>
    <xf numFmtId="2" fontId="0" fillId="2" borderId="17" xfId="0" applyNumberFormat="1" applyFont="1" applyFill="1" applyBorder="1" applyAlignment="1">
      <alignment horizontal="center"/>
    </xf>
    <xf numFmtId="166" fontId="0" fillId="2" borderId="14" xfId="6" applyNumberFormat="1" applyFont="1" applyFill="1" applyBorder="1" applyProtection="1">
      <alignment/>
      <protection/>
    </xf>
    <xf numFmtId="169" fontId="0" fillId="5" borderId="0" xfId="0" applyNumberFormat="1" applyFont="1" applyFill="1" applyAlignment="1">
      <alignment horizontal="right"/>
    </xf>
    <xf numFmtId="14" fontId="0" fillId="3" borderId="28" xfId="0" applyNumberFormat="1" applyFont="1" applyFill="1" applyBorder="1" applyProtection="1">
      <alignment/>
      <protection locked="0"/>
    </xf>
    <xf numFmtId="0" fontId="0" fillId="5" borderId="44" xfId="0" applyFont="1" applyFill="1" applyBorder="1">
      <alignment/>
    </xf>
    <xf numFmtId="0" fontId="0" fillId="5" borderId="46" xfId="0" applyFont="1" applyFill="1" applyBorder="1">
      <alignment/>
    </xf>
    <xf numFmtId="0" fontId="0" fillId="5" borderId="42" xfId="0" applyFont="1" applyFill="1" applyBorder="1">
      <alignment/>
    </xf>
    <xf numFmtId="0" fontId="0" fillId="5" borderId="48" xfId="0" applyFont="1" applyFill="1" applyBorder="1">
      <alignment/>
    </xf>
    <xf numFmtId="0" fontId="0" fillId="4" borderId="26" xfId="0" applyFont="1" applyFill="1" applyBorder="1" applyAlignment="1">
      <alignment horizontal="center"/>
    </xf>
    <xf numFmtId="0" fontId="0" fillId="3" borderId="26" xfId="0" applyFont="1" applyFill="1" applyBorder="1" applyAlignment="1">
      <alignment horizontal="center"/>
    </xf>
    <xf numFmtId="14" fontId="0" fillId="5" borderId="28" xfId="0" applyNumberFormat="1" applyFont="1" applyFill="1" applyBorder="1" applyProtection="1">
      <alignment/>
      <protection locked="0"/>
    </xf>
    <xf numFmtId="0" fontId="0" fillId="5" borderId="28" xfId="0" applyFont="1" applyFill="1" applyBorder="1" applyAlignment="1" applyProtection="1">
      <alignment horizontal="center"/>
      <protection locked="0"/>
    </xf>
    <xf numFmtId="169" fontId="0" fillId="4" borderId="0" xfId="0" applyNumberFormat="1" applyFont="1" applyFill="1" applyAlignment="1">
      <alignment horizontal="right"/>
    </xf>
    <xf numFmtId="169" fontId="5" fillId="3" borderId="48" xfId="0" applyNumberFormat="1" applyFont="1" applyFill="1" applyBorder="1" applyAlignment="1" applyProtection="1">
      <alignment horizontal="center" vertical="center"/>
      <protection locked="0"/>
    </xf>
    <xf numFmtId="0" fontId="0" fillId="5" borderId="48" xfId="0" applyFont="1" applyFill="1" applyBorder="1" applyAlignment="1" applyProtection="1">
      <alignment horizontal="center" vertical="center"/>
      <protection locked="0"/>
    </xf>
    <xf numFmtId="0" fontId="0" fillId="5" borderId="79" xfId="0" applyFont="1" applyFill="1" applyBorder="1" applyAlignment="1">
      <alignment horizontal="center" vertical="center"/>
    </xf>
    <xf numFmtId="0" fontId="0" fillId="5" borderId="48" xfId="0" applyFont="1" applyFill="1" applyBorder="1" applyAlignment="1">
      <alignment horizontal="center" vertical="center"/>
    </xf>
    <xf numFmtId="0" fontId="0" fillId="5" borderId="80" xfId="0" applyFont="1" applyFill="1" applyBorder="1" applyAlignment="1">
      <alignment horizontal="center" vertical="center"/>
    </xf>
    <xf numFmtId="0" fontId="0" fillId="5" borderId="46" xfId="0" applyFont="1" applyFill="1" applyBorder="1" applyAlignment="1">
      <alignment horizontal="center" vertical="center"/>
    </xf>
    <xf numFmtId="39" fontId="0" fillId="15" borderId="61" xfId="7" applyNumberFormat="1" applyFont="1" applyFill="1" applyBorder="1" applyAlignment="1" applyProtection="1">
      <alignment horizontal="center"/>
      <protection hidden="1"/>
    </xf>
    <xf numFmtId="0" fontId="28" fillId="0" borderId="0" xfId="0" applyFont="1">
      <alignment/>
    </xf>
    <xf numFmtId="14" fontId="0" fillId="3" borderId="28" xfId="0" applyNumberFormat="1" applyFont="1" applyFill="1" applyBorder="1">
      <alignment/>
    </xf>
    <xf numFmtId="0" fontId="28" fillId="2" borderId="0" xfId="0" applyFont="1" applyFill="1">
      <alignment/>
    </xf>
    <xf numFmtId="0" fontId="28" fillId="0" borderId="69" xfId="0" applyFont="1" applyBorder="1">
      <alignment/>
    </xf>
    <xf numFmtId="0" fontId="28" fillId="0" borderId="70" xfId="0" applyFont="1" applyBorder="1">
      <alignment/>
    </xf>
    <xf numFmtId="0" fontId="28" fillId="0" borderId="71" xfId="0" applyFont="1" applyBorder="1">
      <alignment/>
    </xf>
    <xf numFmtId="39" fontId="0" fillId="17" borderId="14" xfId="7" applyNumberFormat="1" applyFont="1" applyFill="1" applyBorder="1" applyAlignment="1" applyProtection="1">
      <alignment horizontal="center"/>
      <protection/>
    </xf>
    <xf numFmtId="0" fontId="0" fillId="3" borderId="15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28" fillId="0" borderId="72" xfId="0" applyFont="1" applyBorder="1">
      <alignment/>
    </xf>
    <xf numFmtId="0" fontId="28" fillId="0" borderId="73" xfId="0" applyFont="1" applyBorder="1">
      <alignment/>
    </xf>
    <xf numFmtId="0" fontId="28" fillId="0" borderId="74" xfId="0" applyFont="1" applyBorder="1">
      <alignment/>
    </xf>
    <xf numFmtId="0" fontId="28" fillId="5" borderId="73" xfId="0" applyFont="1" applyFill="1" applyBorder="1">
      <alignment/>
    </xf>
    <xf numFmtId="0" fontId="28" fillId="5" borderId="75" xfId="0" applyFont="1" applyFill="1" applyBorder="1">
      <alignment/>
    </xf>
    <xf numFmtId="0" fontId="0" fillId="3" borderId="15" xfId="0" applyFont="1" applyFill="1" applyBorder="1" applyAlignment="1">
      <alignment horizontal="center"/>
    </xf>
    <xf numFmtId="49" fontId="0" fillId="3" borderId="15" xfId="0" applyNumberFormat="1" applyFill="1" applyBorder="1" applyAlignment="1">
      <alignment horizontal="center"/>
    </xf>
    <xf numFmtId="2" fontId="28" fillId="5" borderId="73" xfId="0" applyNumberFormat="1" applyFont="1" applyFill="1" applyBorder="1">
      <alignment/>
    </xf>
    <xf numFmtId="2" fontId="28" fillId="5" borderId="75" xfId="0" applyNumberFormat="1" applyFont="1" applyFill="1" applyBorder="1">
      <alignment/>
    </xf>
    <xf numFmtId="0" fontId="0" fillId="3" borderId="14" xfId="0" applyFill="1" applyBorder="1" applyAlignment="1">
      <alignment horizontal="center"/>
    </xf>
    <xf numFmtId="0" fontId="28" fillId="0" borderId="76" xfId="0" applyFont="1" applyBorder="1">
      <alignment/>
    </xf>
    <xf numFmtId="0" fontId="28" fillId="0" borderId="77" xfId="0" applyFont="1" applyBorder="1">
      <alignment/>
    </xf>
    <xf numFmtId="0" fontId="28" fillId="0" borderId="78" xfId="0" applyFont="1" applyBorder="1">
      <alignment/>
    </xf>
    <xf numFmtId="0" fontId="28" fillId="5" borderId="0" xfId="0" applyFont="1" applyFill="1">
      <alignment/>
    </xf>
    <xf numFmtId="0" fontId="0" fillId="3" borderId="65" xfId="0" applyFont="1" applyFill="1" applyBorder="1" applyAlignment="1">
      <alignment horizontal="center" vertical="center"/>
    </xf>
    <xf numFmtId="169" fontId="0" fillId="3" borderId="44" xfId="0" applyNumberFormat="1" applyFont="1" applyFill="1" applyBorder="1" applyAlignment="1">
      <alignment horizontal="center" vertical="center"/>
    </xf>
    <xf numFmtId="49" fontId="28" fillId="5" borderId="0" xfId="0" applyNumberFormat="1" applyFont="1" applyFill="1">
      <alignment/>
    </xf>
    <xf numFmtId="0" fontId="0" fillId="3" borderId="45" xfId="0" applyFont="1" applyFill="1" applyBorder="1" applyAlignment="1">
      <alignment horizontal="center" vertical="center"/>
    </xf>
    <xf numFmtId="49" fontId="5" fillId="3" borderId="44" xfId="0" applyNumberFormat="1" applyFont="1" applyFill="1" applyBorder="1" applyAlignment="1">
      <alignment horizontal="center" vertical="center"/>
    </xf>
    <xf numFmtId="2" fontId="0" fillId="3" borderId="44" xfId="0" applyNumberFormat="1" applyFill="1" applyBorder="1" applyAlignment="1">
      <alignment horizontal="center"/>
    </xf>
    <xf numFmtId="0" fontId="28" fillId="5" borderId="44" xfId="0" applyFont="1" applyFill="1" applyBorder="1" applyAlignment="1">
      <alignment horizontal="center" vertical="center"/>
    </xf>
    <xf numFmtId="49" fontId="0" fillId="3" borderId="63" xfId="0" applyNumberFormat="1" applyFont="1" applyFill="1" applyBorder="1" applyAlignment="1">
      <alignment horizontal="center" vertical="center"/>
    </xf>
    <xf numFmtId="49" fontId="0" fillId="3" borderId="45" xfId="0" applyNumberFormat="1" applyFont="1" applyFill="1" applyBorder="1" applyAlignment="1">
      <alignment horizontal="center" vertical="center"/>
    </xf>
    <xf numFmtId="0" fontId="0" fillId="3" borderId="63" xfId="0" applyFont="1" applyFill="1" applyBorder="1" applyAlignment="1">
      <alignment horizontal="center" vertical="center"/>
    </xf>
    <xf numFmtId="1" fontId="0" fillId="3" borderId="64" xfId="0" applyNumberFormat="1" applyFont="1" applyFill="1" applyBorder="1" applyAlignment="1">
      <alignment horizontal="center" vertical="center"/>
    </xf>
    <xf numFmtId="1" fontId="0" fillId="3" borderId="47" xfId="0" applyNumberFormat="1" applyFont="1" applyFill="1" applyBorder="1" applyAlignment="1">
      <alignment horizontal="center" vertical="center"/>
    </xf>
    <xf numFmtId="0" fontId="0" fillId="3" borderId="64" xfId="0" applyFont="1" applyFill="1" applyBorder="1" applyAlignment="1">
      <alignment horizontal="center" vertical="center"/>
    </xf>
    <xf numFmtId="169" fontId="0" fillId="3" borderId="46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1" fontId="0" fillId="3" borderId="65" xfId="0" applyNumberFormat="1" applyFont="1" applyFill="1" applyBorder="1" applyAlignment="1">
      <alignment horizontal="center" vertical="center"/>
    </xf>
    <xf numFmtId="1" fontId="5" fillId="3" borderId="64" xfId="0" applyNumberFormat="1" applyFont="1" applyFill="1" applyBorder="1" applyAlignment="1">
      <alignment horizontal="center" vertical="center"/>
    </xf>
    <xf numFmtId="1" fontId="5" fillId="3" borderId="47" xfId="0" applyNumberFormat="1" applyFont="1" applyFill="1" applyBorder="1" applyAlignment="1">
      <alignment horizontal="center" vertical="center"/>
    </xf>
    <xf numFmtId="1" fontId="5" fillId="3" borderId="66" xfId="0" applyNumberFormat="1" applyFont="1" applyFill="1" applyBorder="1" applyAlignment="1">
      <alignment horizontal="center" vertical="center"/>
    </xf>
    <xf numFmtId="169" fontId="5" fillId="3" borderId="46" xfId="0" applyNumberFormat="1" applyFont="1" applyFill="1" applyBorder="1" applyAlignment="1">
      <alignment horizontal="center" vertical="center"/>
    </xf>
    <xf numFmtId="2" fontId="0" fillId="3" borderId="46" xfId="0" applyNumberFormat="1" applyFill="1" applyBorder="1" applyAlignment="1">
      <alignment horizontal="center"/>
    </xf>
    <xf numFmtId="49" fontId="0" fillId="3" borderId="67" xfId="0" applyNumberFormat="1" applyFont="1" applyFill="1" applyBorder="1" applyAlignment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69" fontId="5" fillId="3" borderId="44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>
      <alignment horizontal="center" vertical="center"/>
    </xf>
    <xf numFmtId="167" fontId="0" fillId="0" borderId="81" xfId="0" applyNumberFormat="1" applyBorder="1">
      <alignment/>
    </xf>
    <xf numFmtId="49" fontId="0" fillId="3" borderId="45" xfId="0" applyNumberFormat="1" applyFont="1" applyFill="1" applyBorder="1" applyAlignment="1">
      <alignment horizontal="center"/>
    </xf>
    <xf numFmtId="49" fontId="5" fillId="3" borderId="44" xfId="0" applyNumberFormat="1" applyFont="1" applyFill="1" applyBorder="1" applyAlignment="1">
      <alignment horizontal="center"/>
    </xf>
    <xf numFmtId="49" fontId="0" fillId="3" borderId="63" xfId="0" applyNumberFormat="1" applyFont="1" applyFill="1" applyBorder="1" applyAlignment="1">
      <alignment horizontal="center"/>
    </xf>
    <xf numFmtId="165" fontId="28" fillId="5" borderId="0" xfId="0" applyNumberFormat="1" applyFont="1" applyFill="1">
      <alignment/>
    </xf>
    <xf numFmtId="1" fontId="5" fillId="3" borderId="63" xfId="0" applyNumberFormat="1" applyFont="1" applyFill="1" applyBorder="1" applyAlignment="1">
      <alignment horizontal="center"/>
    </xf>
    <xf numFmtId="169" fontId="5" fillId="3" borderId="44" xfId="0" applyNumberFormat="1" applyFont="1" applyFill="1" applyBorder="1" applyAlignment="1">
      <alignment horizontal="center"/>
    </xf>
    <xf numFmtId="2" fontId="5" fillId="3" borderId="44" xfId="0" applyNumberFormat="1" applyFont="1" applyFill="1" applyBorder="1" applyAlignment="1">
      <alignment horizontal="center" vertical="center"/>
    </xf>
    <xf numFmtId="1" fontId="5" fillId="3" borderId="45" xfId="0" applyNumberFormat="1" applyFont="1" applyFill="1" applyBorder="1" applyAlignment="1">
      <alignment horizontal="center"/>
    </xf>
    <xf numFmtId="0" fontId="5" fillId="5" borderId="44" xfId="0" applyFont="1" applyFill="1" applyBorder="1" applyAlignment="1">
      <alignment horizontal="center" vertical="center"/>
    </xf>
    <xf numFmtId="1" fontId="5" fillId="3" borderId="65" xfId="0" applyNumberFormat="1" applyFont="1" applyFill="1" applyBorder="1" applyAlignment="1">
      <alignment horizontal="center"/>
    </xf>
    <xf numFmtId="1" fontId="5" fillId="3" borderId="64" xfId="0" applyNumberFormat="1" applyFont="1" applyFill="1" applyBorder="1" applyAlignment="1">
      <alignment horizontal="center"/>
    </xf>
    <xf numFmtId="1" fontId="5" fillId="3" borderId="47" xfId="0" applyNumberFormat="1" applyFont="1" applyFill="1" applyBorder="1" applyAlignment="1">
      <alignment horizontal="center"/>
    </xf>
    <xf numFmtId="1" fontId="5" fillId="3" borderId="66" xfId="0" applyNumberFormat="1" applyFont="1" applyFill="1" applyBorder="1" applyAlignment="1">
      <alignment horizontal="center"/>
    </xf>
    <xf numFmtId="0" fontId="5" fillId="5" borderId="46" xfId="0" applyFont="1" applyFill="1" applyBorder="1" applyAlignment="1">
      <alignment horizontal="center" vertical="center"/>
    </xf>
    <xf numFmtId="169" fontId="5" fillId="3" borderId="46" xfId="0" applyNumberFormat="1" applyFont="1" applyFill="1" applyBorder="1" applyAlignment="1">
      <alignment horizontal="center"/>
    </xf>
    <xf numFmtId="49" fontId="5" fillId="3" borderId="46" xfId="0" applyNumberFormat="1" applyFont="1" applyFill="1" applyBorder="1" applyAlignment="1">
      <alignment horizontal="center"/>
    </xf>
    <xf numFmtId="2" fontId="5" fillId="3" borderId="46" xfId="0" applyNumberFormat="1" applyFont="1" applyFill="1" applyBorder="1" applyAlignment="1">
      <alignment horizontal="center" vertical="center"/>
    </xf>
    <xf numFmtId="165" fontId="0" fillId="0" borderId="82" xfId="0" applyNumberFormat="1" applyBorder="1">
      <alignment/>
    </xf>
    <xf numFmtId="49" fontId="0" fillId="3" borderId="43" xfId="0" applyNumberFormat="1" applyFont="1" applyFill="1" applyBorder="1" applyAlignment="1">
      <alignment horizontal="center"/>
    </xf>
    <xf numFmtId="1" fontId="5" fillId="3" borderId="67" xfId="0" applyNumberFormat="1" applyFont="1" applyFill="1" applyBorder="1" applyAlignment="1">
      <alignment horizontal="center" vertical="center"/>
    </xf>
    <xf numFmtId="0" fontId="0" fillId="5" borderId="42" xfId="0" applyFont="1" applyFill="1" applyBorder="1" applyAlignment="1">
      <alignment horizontal="center" vertical="center"/>
    </xf>
    <xf numFmtId="169" fontId="5" fillId="3" borderId="42" xfId="0" applyNumberFormat="1" applyFont="1" applyFill="1" applyBorder="1" applyAlignment="1">
      <alignment horizontal="center" vertical="center"/>
    </xf>
    <xf numFmtId="49" fontId="5" fillId="3" borderId="48" xfId="0" applyNumberFormat="1" applyFont="1" applyFill="1" applyBorder="1" applyAlignment="1">
      <alignment horizontal="center"/>
    </xf>
    <xf numFmtId="1" fontId="5" fillId="3" borderId="43" xfId="0" applyNumberFormat="1" applyFont="1" applyFill="1" applyBorder="1" applyAlignment="1">
      <alignment horizontal="center"/>
    </xf>
    <xf numFmtId="1" fontId="5" fillId="3" borderId="68" xfId="0" applyNumberFormat="1" applyFont="1" applyFill="1" applyBorder="1" applyAlignment="1">
      <alignment horizontal="center"/>
    </xf>
    <xf numFmtId="0" fontId="5" fillId="5" borderId="48" xfId="0" applyFont="1" applyFill="1" applyBorder="1" applyAlignment="1">
      <alignment horizontal="center" vertical="center"/>
    </xf>
    <xf numFmtId="169" fontId="5" fillId="3" borderId="48" xfId="0" applyNumberFormat="1" applyFont="1" applyFill="1" applyBorder="1" applyAlignment="1">
      <alignment horizontal="center"/>
    </xf>
    <xf numFmtId="2" fontId="5" fillId="3" borderId="48" xfId="0" applyNumberFormat="1" applyFont="1" applyFill="1" applyBorder="1" applyAlignment="1">
      <alignment horizontal="center" vertical="center"/>
    </xf>
    <xf numFmtId="0" fontId="5" fillId="5" borderId="83" xfId="0" applyFont="1" applyFill="1" applyBorder="1" applyAlignment="1">
      <alignment horizontal="center" vertical="center"/>
    </xf>
    <xf numFmtId="0" fontId="2" fillId="0" borderId="0" xfId="0" applyFont="1">
      <alignment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0" fontId="4" fillId="5" borderId="0" xfId="0" applyFont="1" applyFill="1" applyAlignment="1">
      <alignment horizontal="center" vertical="center" wrapText="1"/>
    </xf>
    <xf numFmtId="0" fontId="0" fillId="3" borderId="63" xfId="0" applyNumberFormat="1" applyFont="1" applyFill="1" applyBorder="1" applyAlignment="1" applyProtection="1">
      <alignment horizontal="center" vertical="center"/>
      <protection locked="0"/>
    </xf>
    <xf numFmtId="0" fontId="0" fillId="3" borderId="45" xfId="0" applyNumberFormat="1" applyFont="1" applyFill="1" applyBorder="1" applyAlignment="1" applyProtection="1">
      <alignment horizontal="center" vertical="center"/>
      <protection locked="0"/>
    </xf>
    <xf numFmtId="1" fontId="5" fillId="3" borderId="84" xfId="0" applyNumberFormat="1" applyFont="1" applyFill="1" applyBorder="1" applyAlignment="1" applyProtection="1">
      <alignment horizontal="center" vertical="center"/>
      <protection locked="0"/>
    </xf>
    <xf numFmtId="0" fontId="0" fillId="5" borderId="85" xfId="0" applyFont="1" applyFill="1" applyBorder="1" applyAlignment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  <protection locked="0"/>
    </xf>
    <xf numFmtId="2" fontId="0" fillId="3" borderId="48" xfId="0" applyNumberFormat="1" applyFill="1" applyBorder="1" applyAlignment="1" applyProtection="1">
      <alignment horizontal="center"/>
      <protection locked="0"/>
    </xf>
    <xf numFmtId="10" fontId="0" fillId="0" borderId="48" xfId="6" applyNumberFormat="1" applyFont="1" applyBorder="1" applyProtection="1">
      <alignment/>
      <protection/>
    </xf>
    <xf numFmtId="0" fontId="0" fillId="2" borderId="58" xfId="0" applyFill="1" applyBorder="1">
      <alignment/>
    </xf>
    <xf numFmtId="49" fontId="0" fillId="2" borderId="58" xfId="0" applyNumberFormat="1" applyFill="1" applyBorder="1">
      <alignment/>
    </xf>
    <xf numFmtId="167" fontId="0" fillId="0" borderId="58" xfId="0" applyNumberFormat="1" applyBorder="1">
      <alignment/>
    </xf>
    <xf numFmtId="0" fontId="0" fillId="0" borderId="58" xfId="0" applyBorder="1" applyAlignment="1">
      <alignment horizontal="center"/>
    </xf>
    <xf numFmtId="165" fontId="0" fillId="0" borderId="58" xfId="0" applyNumberFormat="1" applyBorder="1">
      <alignment/>
    </xf>
    <xf numFmtId="169" fontId="0" fillId="0" borderId="58" xfId="0" applyNumberFormat="1" applyBorder="1">
      <alignment/>
    </xf>
    <xf numFmtId="2" fontId="0" fillId="0" borderId="58" xfId="0" applyNumberFormat="1" applyBorder="1">
      <alignment/>
    </xf>
    <xf numFmtId="10" fontId="0" fillId="0" borderId="46" xfId="6" applyNumberFormat="1" applyFont="1" applyBorder="1" applyProtection="1">
      <alignment/>
      <protection/>
    </xf>
    <xf numFmtId="1" fontId="0" fillId="3" borderId="63" xfId="0" applyNumberFormat="1" applyFont="1" applyFill="1" applyBorder="1" applyAlignment="1" applyProtection="1">
      <alignment horizontal="center" vertical="center"/>
      <protection locked="0"/>
    </xf>
    <xf numFmtId="1" fontId="0" fillId="3" borderId="45" xfId="0" applyNumberFormat="1" applyFont="1" applyFill="1" applyBorder="1" applyAlignment="1" applyProtection="1">
      <alignment horizontal="center" vertical="center"/>
      <protection locked="0"/>
    </xf>
    <xf numFmtId="1" fontId="5" fillId="3" borderId="45" xfId="0" applyNumberFormat="1" applyFont="1" applyFill="1" applyBorder="1" applyAlignment="1" applyProtection="1">
      <alignment horizontal="center" vertical="center"/>
      <protection locked="0"/>
    </xf>
    <xf numFmtId="1" fontId="0" fillId="3" borderId="84" xfId="0" applyNumberFormat="1" applyFont="1" applyFill="1" applyBorder="1" applyAlignment="1" applyProtection="1">
      <alignment horizontal="center" vertical="center"/>
      <protection locked="0"/>
    </xf>
    <xf numFmtId="1" fontId="0" fillId="3" borderId="49" xfId="0" applyNumberFormat="1" applyFont="1" applyFill="1" applyBorder="1" applyAlignment="1" applyProtection="1">
      <alignment horizontal="center" vertical="center"/>
      <protection locked="0"/>
    </xf>
    <xf numFmtId="1" fontId="0" fillId="3" borderId="45" xfId="0" applyNumberFormat="1" applyFont="1" applyFill="1" applyBorder="1" applyAlignment="1" applyProtection="1">
      <alignment horizontal="center"/>
      <protection locked="0"/>
    </xf>
    <xf numFmtId="1" fontId="0" fillId="3" borderId="63" xfId="0" applyNumberFormat="1" applyFont="1" applyFill="1" applyBorder="1" applyAlignment="1" applyProtection="1">
      <alignment horizontal="center"/>
      <protection locked="0"/>
    </xf>
    <xf numFmtId="1" fontId="0" fillId="3" borderId="49" xfId="0" applyNumberFormat="1" applyFont="1" applyFill="1" applyBorder="1" applyAlignment="1" applyProtection="1">
      <alignment horizontal="center"/>
      <protection locked="0"/>
    </xf>
    <xf numFmtId="1" fontId="0" fillId="3" borderId="64" xfId="0" applyNumberFormat="1" applyFont="1" applyFill="1" applyBorder="1" applyAlignment="1" applyProtection="1">
      <alignment horizontal="center"/>
      <protection locked="0"/>
    </xf>
    <xf numFmtId="1" fontId="0" fillId="3" borderId="84" xfId="0" applyNumberFormat="1" applyFont="1" applyFill="1" applyBorder="1" applyAlignment="1" applyProtection="1">
      <alignment horizontal="center"/>
      <protection locked="0"/>
    </xf>
    <xf numFmtId="1" fontId="0" fillId="3" borderId="67" xfId="0" applyNumberFormat="1" applyFont="1" applyFill="1" applyBorder="1" applyAlignment="1" applyProtection="1">
      <alignment horizontal="center" vertical="center"/>
      <protection locked="0"/>
    </xf>
    <xf numFmtId="1" fontId="0" fillId="3" borderId="43" xfId="0" applyNumberFormat="1" applyFont="1" applyFill="1" applyBorder="1" applyAlignment="1" applyProtection="1">
      <alignment horizontal="center" vertical="center"/>
      <protection locked="0"/>
    </xf>
    <xf numFmtId="0" fontId="0" fillId="2" borderId="86" xfId="0" applyFill="1" applyBorder="1">
      <alignment/>
    </xf>
    <xf numFmtId="49" fontId="0" fillId="2" borderId="86" xfId="0" applyNumberFormat="1" applyFill="1" applyBorder="1">
      <alignment/>
    </xf>
    <xf numFmtId="0" fontId="0" fillId="0" borderId="86" xfId="0" applyBorder="1">
      <alignment/>
    </xf>
    <xf numFmtId="0" fontId="0" fillId="0" borderId="86" xfId="0" applyBorder="1" applyAlignment="1">
      <alignment horizontal="center"/>
    </xf>
    <xf numFmtId="165" fontId="0" fillId="0" borderId="86" xfId="0" applyNumberFormat="1" applyBorder="1">
      <alignment/>
    </xf>
    <xf numFmtId="169" fontId="0" fillId="0" borderId="86" xfId="0" applyNumberFormat="1" applyBorder="1">
      <alignment/>
    </xf>
    <xf numFmtId="2" fontId="0" fillId="0" borderId="86" xfId="0" applyNumberFormat="1" applyBorder="1">
      <alignment/>
    </xf>
    <xf numFmtId="0" fontId="6" fillId="18" borderId="0" xfId="0" applyFont="1" applyFill="1" applyAlignment="1">
      <alignment vertical="center" wrapText="1"/>
    </xf>
    <xf numFmtId="0" fontId="6" fillId="18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39" fontId="0" fillId="17" borderId="24" xfId="7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7" fillId="15" borderId="0" xfId="0" applyFont="1" applyFill="1" applyAlignment="1">
      <alignment horizontal="center" vertical="top"/>
    </xf>
    <xf numFmtId="0" fontId="7" fillId="15" borderId="0" xfId="0" applyFont="1" applyFill="1" applyAlignment="1">
      <alignment horizontal="center" vertical="top" wrapText="1"/>
    </xf>
    <xf numFmtId="0" fontId="20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10" borderId="87" xfId="0" applyFill="1" applyBorder="1" applyAlignment="1">
      <alignment horizontal="center" vertical="center" textRotation="90" wrapText="1"/>
    </xf>
    <xf numFmtId="0" fontId="0" fillId="10" borderId="88" xfId="0" applyFill="1" applyBorder="1" applyAlignment="1">
      <alignment horizontal="center" vertical="center" textRotation="90" wrapText="1"/>
    </xf>
    <xf numFmtId="0" fontId="0" fillId="10" borderId="89" xfId="0" applyFill="1" applyBorder="1" applyAlignment="1">
      <alignment horizontal="center" vertical="center" textRotation="90" wrapText="1"/>
    </xf>
    <xf numFmtId="0" fontId="0" fillId="10" borderId="90" xfId="0" applyFill="1" applyBorder="1" applyAlignment="1">
      <alignment horizontal="center" vertical="center" textRotation="90" wrapText="1"/>
    </xf>
    <xf numFmtId="0" fontId="0" fillId="10" borderId="91" xfId="0" applyFill="1" applyBorder="1" applyAlignment="1">
      <alignment horizontal="center" vertical="center" textRotation="90" wrapText="1"/>
    </xf>
    <xf numFmtId="0" fontId="0" fillId="10" borderId="92" xfId="0" applyFill="1" applyBorder="1" applyAlignment="1">
      <alignment horizontal="center" vertical="center" textRotation="90" wrapText="1"/>
    </xf>
    <xf numFmtId="0" fontId="5" fillId="10" borderId="93" xfId="0" applyFont="1" applyFill="1" applyBorder="1" applyAlignment="1">
      <alignment horizontal="center" vertical="center" wrapText="1"/>
    </xf>
    <xf numFmtId="0" fontId="5" fillId="10" borderId="61" xfId="0" applyFont="1" applyFill="1" applyBorder="1" applyAlignment="1">
      <alignment horizontal="center" vertical="center" wrapText="1"/>
    </xf>
    <xf numFmtId="49" fontId="5" fillId="2" borderId="94" xfId="0" applyNumberFormat="1" applyFont="1" applyFill="1" applyBorder="1" applyAlignment="1">
      <alignment horizontal="center" vertical="center"/>
    </xf>
    <xf numFmtId="49" fontId="5" fillId="2" borderId="95" xfId="0" applyNumberFormat="1" applyFont="1" applyFill="1" applyBorder="1" applyAlignment="1">
      <alignment horizontal="center" vertical="center"/>
    </xf>
    <xf numFmtId="0" fontId="5" fillId="10" borderId="93" xfId="0" applyFont="1" applyFill="1" applyBorder="1" applyAlignment="1">
      <alignment horizontal="center" wrapText="1"/>
    </xf>
    <xf numFmtId="0" fontId="5" fillId="10" borderId="61" xfId="0" applyFont="1" applyFill="1" applyBorder="1" applyAlignment="1">
      <alignment horizontal="center" wrapText="1"/>
    </xf>
    <xf numFmtId="0" fontId="0" fillId="4" borderId="96" xfId="0" applyFont="1" applyFill="1" applyBorder="1" applyAlignment="1" applyProtection="1">
      <alignment horizontal="left"/>
      <protection locked="0"/>
    </xf>
    <xf numFmtId="0" fontId="0" fillId="4" borderId="33" xfId="0" applyFont="1" applyFill="1" applyBorder="1" applyAlignment="1" applyProtection="1">
      <alignment horizontal="left"/>
      <protection locked="0"/>
    </xf>
    <xf numFmtId="0" fontId="0" fillId="4" borderId="97" xfId="0" applyFont="1" applyFill="1" applyBorder="1" applyAlignment="1" applyProtection="1">
      <alignment horizontal="left"/>
      <protection locked="0"/>
    </xf>
    <xf numFmtId="0" fontId="0" fillId="4" borderId="25" xfId="0" applyFont="1" applyFill="1" applyBorder="1" applyAlignment="1" applyProtection="1">
      <alignment horizontal="left"/>
      <protection locked="0"/>
    </xf>
    <xf numFmtId="0" fontId="0" fillId="4" borderId="60" xfId="0" applyFont="1" applyFill="1" applyBorder="1" applyAlignment="1" applyProtection="1">
      <alignment horizontal="left"/>
      <protection locked="0"/>
    </xf>
    <xf numFmtId="0" fontId="0" fillId="10" borderId="93" xfId="0" applyFill="1" applyBorder="1" applyAlignment="1">
      <alignment horizontal="center"/>
    </xf>
    <xf numFmtId="0" fontId="0" fillId="10" borderId="50" xfId="0" applyFill="1" applyBorder="1" applyAlignment="1">
      <alignment horizontal="center"/>
    </xf>
    <xf numFmtId="0" fontId="0" fillId="10" borderId="61" xfId="0" applyFill="1" applyBorder="1" applyAlignment="1">
      <alignment horizontal="center"/>
    </xf>
    <xf numFmtId="0" fontId="4" fillId="10" borderId="14" xfId="0" applyFont="1" applyFill="1" applyBorder="1" applyAlignment="1">
      <alignment horizontal="center" wrapText="1"/>
    </xf>
    <xf numFmtId="0" fontId="4" fillId="10" borderId="24" xfId="0" applyFont="1" applyFill="1" applyBorder="1" applyAlignment="1">
      <alignment horizontal="center" wrapText="1"/>
    </xf>
    <xf numFmtId="0" fontId="5" fillId="10" borderId="14" xfId="0" applyFont="1" applyFill="1" applyBorder="1" applyAlignment="1">
      <alignment horizontal="center" wrapText="1"/>
    </xf>
    <xf numFmtId="0" fontId="5" fillId="10" borderId="24" xfId="0" applyFont="1" applyFill="1" applyBorder="1" applyAlignment="1">
      <alignment horizontal="center" wrapText="1"/>
    </xf>
    <xf numFmtId="0" fontId="0" fillId="4" borderId="98" xfId="0" applyFont="1" applyFill="1" applyBorder="1" applyAlignment="1" applyProtection="1">
      <alignment horizontal="left"/>
      <protection locked="0"/>
    </xf>
    <xf numFmtId="0" fontId="0" fillId="4" borderId="34" xfId="0" applyFont="1" applyFill="1" applyBorder="1" applyAlignment="1" applyProtection="1">
      <alignment horizontal="left"/>
      <protection locked="0"/>
    </xf>
    <xf numFmtId="0" fontId="0" fillId="4" borderId="99" xfId="0" applyFont="1" applyFill="1" applyBorder="1" applyAlignment="1" applyProtection="1">
      <alignment horizontal="left"/>
      <protection locked="0"/>
    </xf>
    <xf numFmtId="0" fontId="4" fillId="10" borderId="26" xfId="0" applyFont="1" applyFill="1" applyBorder="1" applyAlignment="1">
      <alignment horizontal="center" vertical="center" wrapText="1"/>
    </xf>
    <xf numFmtId="0" fontId="4" fillId="10" borderId="100" xfId="0" applyFont="1" applyFill="1" applyBorder="1" applyAlignment="1">
      <alignment horizontal="center" vertical="center" wrapText="1"/>
    </xf>
    <xf numFmtId="0" fontId="5" fillId="10" borderId="26" xfId="0" applyFont="1" applyFill="1" applyBorder="1" applyAlignment="1">
      <alignment horizontal="center" vertical="center" wrapText="1"/>
    </xf>
    <xf numFmtId="0" fontId="5" fillId="10" borderId="100" xfId="0" applyFont="1" applyFill="1" applyBorder="1" applyAlignment="1">
      <alignment horizontal="center" vertical="center" wrapText="1"/>
    </xf>
    <xf numFmtId="0" fontId="0" fillId="5" borderId="52" xfId="0" applyFill="1" applyBorder="1" applyAlignment="1">
      <alignment horizontal="center"/>
    </xf>
    <xf numFmtId="0" fontId="0" fillId="5" borderId="53" xfId="0" applyFill="1" applyBorder="1" applyAlignment="1">
      <alignment horizontal="center"/>
    </xf>
    <xf numFmtId="0" fontId="4" fillId="5" borderId="39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0" fillId="5" borderId="52" xfId="0" applyFont="1" applyFill="1" applyBorder="1" applyAlignment="1">
      <alignment horizontal="center" vertical="center" wrapText="1"/>
    </xf>
    <xf numFmtId="0" fontId="0" fillId="5" borderId="54" xfId="0" applyFont="1" applyFill="1" applyBorder="1" applyAlignment="1">
      <alignment horizontal="center" vertical="center" wrapText="1"/>
    </xf>
    <xf numFmtId="0" fontId="0" fillId="10" borderId="26" xfId="0" applyFont="1" applyFill="1" applyBorder="1" applyAlignment="1">
      <alignment horizontal="center" vertical="center" wrapText="1"/>
    </xf>
    <xf numFmtId="0" fontId="0" fillId="10" borderId="100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/>
    </xf>
    <xf numFmtId="0" fontId="5" fillId="10" borderId="50" xfId="0" applyFont="1" applyFill="1" applyBorder="1" applyAlignment="1">
      <alignment horizontal="center" wrapText="1"/>
    </xf>
    <xf numFmtId="0" fontId="0" fillId="4" borderId="28" xfId="0" applyFont="1" applyFill="1" applyBorder="1" applyAlignment="1" applyProtection="1">
      <alignment horizontal="left"/>
      <protection locked="0"/>
    </xf>
    <xf numFmtId="0" fontId="0" fillId="4" borderId="101" xfId="0" applyFont="1" applyFill="1" applyBorder="1" applyAlignment="1" applyProtection="1">
      <alignment horizontal="left"/>
      <protection locked="0"/>
    </xf>
    <xf numFmtId="0" fontId="6" fillId="10" borderId="93" xfId="0" applyFont="1" applyFill="1" applyBorder="1" applyAlignment="1">
      <alignment horizontal="center" wrapText="1"/>
    </xf>
    <xf numFmtId="0" fontId="6" fillId="10" borderId="61" xfId="0" applyFont="1" applyFill="1" applyBorder="1" applyAlignment="1">
      <alignment horizontal="center" wrapText="1"/>
    </xf>
    <xf numFmtId="0" fontId="0" fillId="19" borderId="87" xfId="0" applyFont="1" applyFill="1" applyBorder="1" applyAlignment="1">
      <alignment horizontal="center" vertical="center" textRotation="90"/>
    </xf>
    <xf numFmtId="0" fontId="0" fillId="19" borderId="88" xfId="0" applyFill="1" applyBorder="1" applyAlignment="1">
      <alignment horizontal="center" vertical="center" textRotation="90"/>
    </xf>
    <xf numFmtId="0" fontId="0" fillId="19" borderId="89" xfId="0" applyFill="1" applyBorder="1" applyAlignment="1">
      <alignment horizontal="center" vertical="center" textRotation="90"/>
    </xf>
    <xf numFmtId="0" fontId="4" fillId="10" borderId="87" xfId="0" applyFont="1" applyFill="1" applyBorder="1" applyAlignment="1">
      <alignment horizontal="center" vertical="center" textRotation="90"/>
    </xf>
    <xf numFmtId="0" fontId="4" fillId="10" borderId="88" xfId="0" applyFont="1" applyFill="1" applyBorder="1" applyAlignment="1">
      <alignment horizontal="center" vertical="center" textRotation="90"/>
    </xf>
    <xf numFmtId="0" fontId="4" fillId="10" borderId="89" xfId="0" applyFont="1" applyFill="1" applyBorder="1" applyAlignment="1">
      <alignment horizontal="center" vertical="center" textRotation="90"/>
    </xf>
    <xf numFmtId="0" fontId="24" fillId="15" borderId="0" xfId="0" applyFont="1" applyFill="1" applyAlignment="1">
      <alignment horizontal="center" vertical="center"/>
    </xf>
    <xf numFmtId="0" fontId="30" fillId="15" borderId="0" xfId="0" applyFont="1" applyFill="1" applyAlignment="1">
      <alignment horizontal="left" vertical="center"/>
    </xf>
    <xf numFmtId="0" fontId="30" fillId="15" borderId="0" xfId="0" applyFont="1" applyFill="1" applyAlignment="1">
      <alignment horizontal="left" vertical="center" wrapText="1"/>
    </xf>
    <xf numFmtId="0" fontId="5" fillId="9" borderId="26" xfId="0" applyFont="1" applyFill="1" applyBorder="1" applyAlignment="1">
      <alignment horizontal="center" vertical="center" wrapText="1"/>
    </xf>
    <xf numFmtId="0" fontId="5" fillId="9" borderId="102" xfId="0" applyFont="1" applyFill="1" applyBorder="1" applyAlignment="1">
      <alignment horizontal="center" vertical="center" wrapText="1"/>
    </xf>
    <xf numFmtId="0" fontId="0" fillId="9" borderId="87" xfId="0" applyFill="1" applyBorder="1" applyAlignment="1">
      <alignment horizontal="center" vertical="center" textRotation="90" wrapText="1"/>
    </xf>
    <xf numFmtId="0" fontId="0" fillId="9" borderId="88" xfId="0" applyFill="1" applyBorder="1" applyAlignment="1">
      <alignment horizontal="center" vertical="center" textRotation="90" wrapText="1"/>
    </xf>
    <xf numFmtId="0" fontId="0" fillId="9" borderId="89" xfId="0" applyFill="1" applyBorder="1" applyAlignment="1">
      <alignment horizontal="center" vertical="center" textRotation="90" wrapText="1"/>
    </xf>
    <xf numFmtId="0" fontId="0" fillId="3" borderId="98" xfId="0" applyFont="1" applyFill="1" applyBorder="1" applyAlignment="1" applyProtection="1">
      <alignment horizontal="left"/>
      <protection locked="0"/>
    </xf>
    <xf numFmtId="0" fontId="0" fillId="3" borderId="34" xfId="0" applyFont="1" applyFill="1" applyBorder="1" applyAlignment="1" applyProtection="1">
      <alignment horizontal="left"/>
      <protection locked="0"/>
    </xf>
    <xf numFmtId="0" fontId="0" fillId="3" borderId="99" xfId="0" applyFont="1" applyFill="1" applyBorder="1" applyAlignment="1" applyProtection="1">
      <alignment horizontal="left"/>
      <protection locked="0"/>
    </xf>
    <xf numFmtId="0" fontId="0" fillId="3" borderId="96" xfId="0" applyFont="1" applyFill="1" applyBorder="1" applyAlignment="1" applyProtection="1">
      <alignment horizontal="left"/>
      <protection locked="0"/>
    </xf>
    <xf numFmtId="0" fontId="0" fillId="3" borderId="33" xfId="0" applyFont="1" applyFill="1" applyBorder="1" applyAlignment="1" applyProtection="1">
      <alignment horizontal="left"/>
      <protection locked="0"/>
    </xf>
    <xf numFmtId="0" fontId="0" fillId="3" borderId="97" xfId="0" applyFont="1" applyFill="1" applyBorder="1" applyAlignment="1" applyProtection="1">
      <alignment horizontal="left"/>
      <protection locked="0"/>
    </xf>
    <xf numFmtId="0" fontId="0" fillId="3" borderId="25" xfId="0" applyFont="1" applyFill="1" applyBorder="1" applyAlignment="1" applyProtection="1">
      <alignment horizontal="left"/>
      <protection locked="0"/>
    </xf>
    <xf numFmtId="0" fontId="0" fillId="9" borderId="90" xfId="0" applyFill="1" applyBorder="1" applyAlignment="1">
      <alignment horizontal="center" vertical="center" textRotation="90" wrapText="1"/>
    </xf>
    <xf numFmtId="0" fontId="0" fillId="9" borderId="91" xfId="0" applyFill="1" applyBorder="1" applyAlignment="1">
      <alignment horizontal="center" vertical="center" textRotation="90" wrapText="1"/>
    </xf>
    <xf numFmtId="0" fontId="0" fillId="9" borderId="92" xfId="0" applyFill="1" applyBorder="1" applyAlignment="1">
      <alignment horizontal="center" vertical="center" textRotation="90" wrapText="1"/>
    </xf>
    <xf numFmtId="49" fontId="5" fillId="2" borderId="67" xfId="0" applyNumberFormat="1" applyFont="1" applyFill="1" applyBorder="1" applyAlignment="1">
      <alignment horizontal="center" vertical="center"/>
    </xf>
    <xf numFmtId="49" fontId="5" fillId="2" borderId="43" xfId="0" applyNumberFormat="1" applyFont="1" applyFill="1" applyBorder="1" applyAlignment="1">
      <alignment horizontal="center" vertical="center"/>
    </xf>
    <xf numFmtId="0" fontId="5" fillId="9" borderId="93" xfId="0" applyFont="1" applyFill="1" applyBorder="1" applyAlignment="1">
      <alignment horizontal="center" vertical="center" wrapText="1"/>
    </xf>
    <xf numFmtId="0" fontId="5" fillId="9" borderId="61" xfId="0" applyFont="1" applyFill="1" applyBorder="1" applyAlignment="1">
      <alignment horizontal="center" vertical="center" wrapText="1"/>
    </xf>
    <xf numFmtId="0" fontId="5" fillId="9" borderId="17" xfId="0" applyFont="1" applyFill="1" applyBorder="1" applyAlignment="1">
      <alignment horizontal="center" wrapText="1"/>
    </xf>
    <xf numFmtId="0" fontId="0" fillId="9" borderId="93" xfId="0" applyFont="1" applyFill="1" applyBorder="1" applyAlignment="1">
      <alignment horizontal="center"/>
    </xf>
    <xf numFmtId="0" fontId="0" fillId="9" borderId="50" xfId="0" applyFill="1" applyBorder="1" applyAlignment="1">
      <alignment horizontal="center"/>
    </xf>
    <xf numFmtId="0" fontId="0" fillId="9" borderId="61" xfId="0" applyFill="1" applyBorder="1" applyAlignment="1">
      <alignment horizontal="center"/>
    </xf>
    <xf numFmtId="0" fontId="5" fillId="9" borderId="50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wrapText="1"/>
    </xf>
    <xf numFmtId="0" fontId="5" fillId="9" borderId="24" xfId="0" applyFont="1" applyFill="1" applyBorder="1" applyAlignment="1">
      <alignment horizontal="center" wrapText="1"/>
    </xf>
    <xf numFmtId="0" fontId="6" fillId="9" borderId="93" xfId="0" applyFont="1" applyFill="1" applyBorder="1" applyAlignment="1">
      <alignment horizontal="center" vertical="center" wrapText="1"/>
    </xf>
    <xf numFmtId="0" fontId="6" fillId="9" borderId="50" xfId="0" applyFont="1" applyFill="1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5" fillId="9" borderId="93" xfId="0" applyFont="1" applyFill="1" applyBorder="1" applyAlignment="1">
      <alignment horizontal="center" wrapText="1"/>
    </xf>
    <xf numFmtId="0" fontId="5" fillId="9" borderId="61" xfId="0" applyFont="1" applyFill="1" applyBorder="1" applyAlignment="1">
      <alignment horizontal="center" wrapText="1"/>
    </xf>
    <xf numFmtId="0" fontId="5" fillId="9" borderId="14" xfId="0" applyFont="1" applyFill="1" applyBorder="1" applyAlignment="1">
      <alignment horizontal="center" vertical="center" wrapText="1"/>
    </xf>
    <xf numFmtId="0" fontId="0" fillId="9" borderId="93" xfId="0" applyFill="1" applyBorder="1" applyAlignment="1">
      <alignment horizontal="center" vertical="center"/>
    </xf>
    <xf numFmtId="0" fontId="0" fillId="9" borderId="93" xfId="0" applyFont="1" applyFill="1" applyBorder="1" applyAlignment="1">
      <alignment horizontal="center" vertical="center"/>
    </xf>
    <xf numFmtId="0" fontId="0" fillId="3" borderId="60" xfId="0" applyFont="1" applyFill="1" applyBorder="1" applyAlignment="1" applyProtection="1">
      <alignment horizontal="left"/>
      <protection locked="0"/>
    </xf>
    <xf numFmtId="0" fontId="0" fillId="3" borderId="28" xfId="0" applyFont="1" applyFill="1" applyBorder="1" applyAlignment="1" applyProtection="1">
      <alignment horizontal="left"/>
      <protection locked="0"/>
    </xf>
    <xf numFmtId="0" fontId="0" fillId="3" borderId="101" xfId="0" applyFont="1" applyFill="1" applyBorder="1" applyAlignment="1" applyProtection="1">
      <alignment horizontal="left"/>
      <protection locked="0"/>
    </xf>
    <xf numFmtId="0" fontId="1" fillId="5" borderId="73" xfId="0" applyFont="1" applyFill="1" applyBorder="1" applyAlignment="1">
      <alignment horizontal="center"/>
    </xf>
    <xf numFmtId="0" fontId="4" fillId="9" borderId="24" xfId="0" applyFont="1" applyFill="1" applyBorder="1" applyAlignment="1">
      <alignment horizontal="center" vertical="center" wrapText="1"/>
    </xf>
    <xf numFmtId="0" fontId="4" fillId="9" borderId="15" xfId="0" applyFont="1" applyFill="1" applyBorder="1" applyAlignment="1">
      <alignment horizontal="center" vertical="center" wrapText="1"/>
    </xf>
    <xf numFmtId="0" fontId="0" fillId="9" borderId="26" xfId="0" applyFont="1" applyFill="1" applyBorder="1" applyAlignment="1">
      <alignment horizontal="center" vertical="center" wrapText="1"/>
    </xf>
    <xf numFmtId="0" fontId="0" fillId="9" borderId="10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4" fillId="5" borderId="102" xfId="0" applyFont="1" applyFill="1" applyBorder="1" applyAlignment="1">
      <alignment horizontal="center" vertical="center" wrapText="1"/>
    </xf>
    <xf numFmtId="0" fontId="4" fillId="9" borderId="26" xfId="0" applyFont="1" applyFill="1" applyBorder="1" applyAlignment="1">
      <alignment horizontal="center" vertical="center" wrapText="1"/>
    </xf>
    <xf numFmtId="0" fontId="4" fillId="9" borderId="102" xfId="0" applyFont="1" applyFill="1" applyBorder="1" applyAlignment="1">
      <alignment horizontal="center" vertical="center" wrapText="1"/>
    </xf>
    <xf numFmtId="0" fontId="0" fillId="9" borderId="93" xfId="0" applyFill="1" applyBorder="1" applyAlignment="1">
      <alignment horizontal="center"/>
    </xf>
    <xf numFmtId="0" fontId="0" fillId="18" borderId="87" xfId="0" applyFont="1" applyFill="1" applyBorder="1" applyAlignment="1">
      <alignment horizontal="center" vertical="center" textRotation="90"/>
    </xf>
    <xf numFmtId="0" fontId="0" fillId="18" borderId="88" xfId="0" applyFill="1" applyBorder="1" applyAlignment="1">
      <alignment horizontal="center" vertical="center" textRotation="90"/>
    </xf>
    <xf numFmtId="0" fontId="0" fillId="18" borderId="89" xfId="0" applyFill="1" applyBorder="1" applyAlignment="1">
      <alignment horizontal="center" vertical="center" textRotation="90"/>
    </xf>
    <xf numFmtId="0" fontId="4" fillId="9" borderId="88" xfId="0" applyFont="1" applyFill="1" applyBorder="1" applyAlignment="1">
      <alignment horizontal="center" vertical="center" textRotation="90"/>
    </xf>
    <xf numFmtId="0" fontId="4" fillId="9" borderId="89" xfId="0" applyFont="1" applyFill="1" applyBorder="1" applyAlignment="1">
      <alignment horizontal="center" vertical="center" textRotation="90"/>
    </xf>
    <xf numFmtId="0" fontId="4" fillId="9" borderId="87" xfId="0" applyFont="1" applyFill="1" applyBorder="1" applyAlignment="1">
      <alignment horizontal="center" vertical="center" textRotation="90"/>
    </xf>
    <xf numFmtId="49" fontId="5" fillId="2" borderId="67" xfId="0" applyNumberFormat="1" applyFont="1" applyFill="1" applyBorder="1" applyAlignment="1" quotePrefix="1">
      <alignment horizontal="center" vertical="center"/>
    </xf>
    <xf numFmtId="0" fontId="4" fillId="18" borderId="93" xfId="0" applyFont="1" applyFill="1" applyBorder="1" applyAlignment="1" applyProtection="1">
      <alignment horizontal="center" vertical="center" wrapText="1"/>
      <protection hidden="1"/>
    </xf>
    <xf numFmtId="0" fontId="4" fillId="18" borderId="50" xfId="0" applyFont="1" applyFill="1" applyBorder="1" applyAlignment="1" applyProtection="1">
      <alignment horizontal="center" vertical="center" wrapText="1"/>
      <protection hidden="1"/>
    </xf>
    <xf numFmtId="0" fontId="4" fillId="18" borderId="61" xfId="0" applyFont="1" applyFill="1" applyBorder="1" applyAlignment="1" applyProtection="1">
      <alignment horizontal="center" vertical="center" wrapText="1"/>
      <protection hidden="1"/>
    </xf>
    <xf numFmtId="0" fontId="0" fillId="15" borderId="93" xfId="0" applyFill="1" applyBorder="1" applyAlignment="1">
      <alignment horizontal="right"/>
    </xf>
    <xf numFmtId="0" fontId="0" fillId="15" borderId="50" xfId="0" applyFill="1" applyBorder="1" applyAlignment="1">
      <alignment horizontal="right"/>
    </xf>
    <xf numFmtId="0" fontId="2" fillId="0" borderId="103" xfId="0" applyFont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 wrapText="1"/>
    </xf>
    <xf numFmtId="0" fontId="2" fillId="0" borderId="105" xfId="0" applyFont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8" fillId="2" borderId="21" xfId="0" applyFont="1" applyFill="1" applyBorder="1" applyAlignment="1">
      <alignment horizontal="center"/>
    </xf>
    <xf numFmtId="0" fontId="19" fillId="2" borderId="18" xfId="0" applyFont="1" applyFill="1" applyBorder="1" applyAlignment="1">
      <alignment horizontal="center"/>
    </xf>
    <xf numFmtId="0" fontId="19" fillId="2" borderId="21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14" borderId="33" xfId="0" applyFont="1" applyFill="1" applyBorder="1" applyAlignment="1">
      <alignment horizontal="center" vertical="center" wrapText="1"/>
    </xf>
    <xf numFmtId="0" fontId="2" fillId="14" borderId="34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0" fontId="5" fillId="2" borderId="24" xfId="0" applyFont="1" applyFill="1" applyBorder="1" applyAlignment="1">
      <alignment horizontal="center" wrapText="1"/>
    </xf>
    <xf numFmtId="0" fontId="5" fillId="2" borderId="17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6" fillId="2" borderId="41" xfId="0" applyFont="1" applyFill="1" applyBorder="1" applyAlignment="1">
      <alignment horizontal="center" wrapText="1"/>
    </xf>
    <xf numFmtId="0" fontId="0" fillId="4" borderId="106" xfId="0" applyFont="1" applyFill="1" applyBorder="1" applyAlignment="1">
      <alignment horizontal="center"/>
    </xf>
    <xf numFmtId="0" fontId="0" fillId="4" borderId="25" xfId="0" applyFont="1" applyFill="1" applyBorder="1" applyAlignment="1">
      <alignment horizontal="center"/>
    </xf>
    <xf numFmtId="0" fontId="2" fillId="2" borderId="93" xfId="0" applyFont="1" applyFill="1" applyBorder="1" applyAlignment="1">
      <alignment horizontal="center"/>
    </xf>
    <xf numFmtId="0" fontId="2" fillId="2" borderId="50" xfId="0" applyFont="1" applyFill="1" applyBorder="1" applyAlignment="1">
      <alignment horizontal="center"/>
    </xf>
    <xf numFmtId="0" fontId="2" fillId="2" borderId="61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40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 wrapText="1"/>
    </xf>
    <xf numFmtId="0" fontId="6" fillId="2" borderId="19" xfId="0" applyFont="1" applyFill="1" applyBorder="1" applyAlignment="1">
      <alignment horizontal="center"/>
    </xf>
    <xf numFmtId="0" fontId="6" fillId="2" borderId="40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 wrapText="1"/>
    </xf>
    <xf numFmtId="0" fontId="6" fillId="2" borderId="40" xfId="0" applyFont="1" applyFill="1" applyBorder="1" applyAlignment="1">
      <alignment horizontal="center" wrapText="1"/>
    </xf>
    <xf numFmtId="0" fontId="6" fillId="2" borderId="20" xfId="0" applyFont="1" applyFill="1" applyBorder="1" applyAlignment="1">
      <alignment horizontal="center" wrapText="1"/>
    </xf>
    <xf numFmtId="0" fontId="6" fillId="18" borderId="93" xfId="0" applyFont="1" applyFill="1" applyBorder="1" applyAlignment="1">
      <alignment horizontal="center" vertical="center" wrapText="1"/>
    </xf>
    <xf numFmtId="0" fontId="6" fillId="18" borderId="50" xfId="0" applyFont="1" applyFill="1" applyBorder="1" applyAlignment="1">
      <alignment horizontal="center" vertical="center" wrapText="1"/>
    </xf>
    <xf numFmtId="0" fontId="6" fillId="18" borderId="61" xfId="0" applyFont="1" applyFill="1" applyBorder="1" applyAlignment="1">
      <alignment horizontal="center" vertical="center" wrapText="1"/>
    </xf>
    <xf numFmtId="0" fontId="0" fillId="11" borderId="90" xfId="0" applyFill="1" applyBorder="1" applyAlignment="1">
      <alignment horizontal="center" textRotation="90"/>
    </xf>
    <xf numFmtId="0" fontId="0" fillId="11" borderId="91" xfId="0" applyFill="1" applyBorder="1" applyAlignment="1">
      <alignment horizontal="center" textRotation="90"/>
    </xf>
    <xf numFmtId="0" fontId="0" fillId="11" borderId="92" xfId="0" applyFill="1" applyBorder="1" applyAlignment="1">
      <alignment horizontal="center" textRotation="90"/>
    </xf>
    <xf numFmtId="0" fontId="0" fillId="5" borderId="98" xfId="0" applyFont="1" applyFill="1" applyBorder="1" applyAlignment="1" applyProtection="1">
      <alignment horizontal="left"/>
      <protection locked="0"/>
    </xf>
    <xf numFmtId="0" fontId="0" fillId="5" borderId="34" xfId="0" applyFont="1" applyFill="1" applyBorder="1" applyAlignment="1" applyProtection="1">
      <alignment horizontal="left"/>
      <protection locked="0"/>
    </xf>
    <xf numFmtId="0" fontId="0" fillId="5" borderId="99" xfId="0" applyFont="1" applyFill="1" applyBorder="1" applyAlignment="1" applyProtection="1">
      <alignment horizontal="left"/>
      <protection locked="0"/>
    </xf>
    <xf numFmtId="0" fontId="0" fillId="5" borderId="28" xfId="0" applyFont="1" applyFill="1" applyBorder="1" applyAlignment="1" applyProtection="1">
      <alignment horizontal="left"/>
      <protection locked="0"/>
    </xf>
    <xf numFmtId="0" fontId="0" fillId="5" borderId="25" xfId="0" applyFont="1" applyFill="1" applyBorder="1" applyAlignment="1" applyProtection="1">
      <alignment horizontal="left"/>
      <protection locked="0"/>
    </xf>
    <xf numFmtId="0" fontId="0" fillId="5" borderId="96" xfId="0" applyFont="1" applyFill="1" applyBorder="1" applyAlignment="1" applyProtection="1">
      <alignment horizontal="left"/>
      <protection locked="0"/>
    </xf>
    <xf numFmtId="0" fontId="0" fillId="5" borderId="33" xfId="0" applyFont="1" applyFill="1" applyBorder="1" applyAlignment="1" applyProtection="1">
      <alignment horizontal="left"/>
      <protection locked="0"/>
    </xf>
    <xf numFmtId="0" fontId="0" fillId="5" borderId="97" xfId="0" applyFont="1" applyFill="1" applyBorder="1" applyAlignment="1" applyProtection="1">
      <alignment horizontal="left"/>
      <protection locked="0"/>
    </xf>
    <xf numFmtId="0" fontId="0" fillId="5" borderId="101" xfId="0" applyFont="1" applyFill="1" applyBorder="1" applyAlignment="1" applyProtection="1">
      <alignment horizontal="left"/>
      <protection locked="0"/>
    </xf>
    <xf numFmtId="0" fontId="5" fillId="11" borderId="14" xfId="0" applyFont="1" applyFill="1" applyBorder="1" applyAlignment="1">
      <alignment horizontal="center" wrapText="1"/>
    </xf>
    <xf numFmtId="0" fontId="5" fillId="11" borderId="24" xfId="0" applyFont="1" applyFill="1" applyBorder="1" applyAlignment="1">
      <alignment horizontal="center" wrapText="1"/>
    </xf>
    <xf numFmtId="0" fontId="5" fillId="11" borderId="26" xfId="0" applyFont="1" applyFill="1" applyBorder="1" applyAlignment="1">
      <alignment horizontal="center" vertical="center" wrapText="1"/>
    </xf>
    <xf numFmtId="0" fontId="5" fillId="11" borderId="102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102" xfId="0" applyFont="1" applyFill="1" applyBorder="1" applyAlignment="1">
      <alignment horizontal="center" vertical="center" wrapText="1"/>
    </xf>
    <xf numFmtId="0" fontId="0" fillId="11" borderId="87" xfId="0" applyFill="1" applyBorder="1" applyAlignment="1">
      <alignment horizontal="center" textRotation="90"/>
    </xf>
    <xf numFmtId="0" fontId="0" fillId="11" borderId="88" xfId="0" applyFill="1" applyBorder="1" applyAlignment="1">
      <alignment horizontal="center" textRotation="90"/>
    </xf>
    <xf numFmtId="0" fontId="0" fillId="11" borderId="90" xfId="0" applyFill="1" applyBorder="1" applyAlignment="1">
      <alignment horizontal="center" vertical="center" textRotation="90" wrapText="1"/>
    </xf>
    <xf numFmtId="0" fontId="0" fillId="11" borderId="91" xfId="0" applyFill="1" applyBorder="1" applyAlignment="1">
      <alignment horizontal="center" vertical="center" textRotation="90" wrapText="1"/>
    </xf>
    <xf numFmtId="0" fontId="0" fillId="11" borderId="92" xfId="0" applyFill="1" applyBorder="1" applyAlignment="1">
      <alignment horizontal="center" vertical="center" textRotation="90" wrapText="1"/>
    </xf>
    <xf numFmtId="0" fontId="0" fillId="11" borderId="26" xfId="0" applyFont="1" applyFill="1" applyBorder="1" applyAlignment="1">
      <alignment horizontal="center" vertical="center" wrapText="1"/>
    </xf>
    <xf numFmtId="0" fontId="0" fillId="11" borderId="102" xfId="0" applyFont="1" applyFill="1" applyBorder="1" applyAlignment="1">
      <alignment horizontal="center" vertical="center" wrapText="1"/>
    </xf>
    <xf numFmtId="0" fontId="5" fillId="11" borderId="93" xfId="0" applyFont="1" applyFill="1" applyBorder="1" applyAlignment="1">
      <alignment horizontal="center" vertical="center" wrapText="1"/>
    </xf>
    <xf numFmtId="0" fontId="5" fillId="11" borderId="61" xfId="0" applyFont="1" applyFill="1" applyBorder="1" applyAlignment="1">
      <alignment horizontal="center" vertical="center" wrapText="1"/>
    </xf>
    <xf numFmtId="0" fontId="4" fillId="11" borderId="26" xfId="0" applyFont="1" applyFill="1" applyBorder="1" applyAlignment="1">
      <alignment horizontal="center" vertical="center" wrapText="1"/>
    </xf>
    <xf numFmtId="0" fontId="4" fillId="11" borderId="102" xfId="0" applyFont="1" applyFill="1" applyBorder="1" applyAlignment="1">
      <alignment horizontal="center" vertical="center" wrapText="1"/>
    </xf>
    <xf numFmtId="0" fontId="4" fillId="4" borderId="39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0" fillId="4" borderId="52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5" fillId="11" borderId="93" xfId="0" applyFont="1" applyFill="1" applyBorder="1" applyAlignment="1">
      <alignment horizontal="center" wrapText="1"/>
    </xf>
    <xf numFmtId="0" fontId="5" fillId="11" borderId="50" xfId="0" applyFont="1" applyFill="1" applyBorder="1" applyAlignment="1">
      <alignment horizontal="center" wrapText="1"/>
    </xf>
    <xf numFmtId="0" fontId="5" fillId="11" borderId="61" xfId="0" applyFont="1" applyFill="1" applyBorder="1" applyAlignment="1">
      <alignment horizontal="center" wrapText="1"/>
    </xf>
    <xf numFmtId="0" fontId="6" fillId="11" borderId="93" xfId="0" applyFont="1" applyFill="1" applyBorder="1" applyAlignment="1">
      <alignment horizontal="center" wrapText="1"/>
    </xf>
    <xf numFmtId="0" fontId="6" fillId="11" borderId="61" xfId="0" applyFont="1" applyFill="1" applyBorder="1" applyAlignment="1">
      <alignment horizontal="center" wrapText="1"/>
    </xf>
    <xf numFmtId="0" fontId="0" fillId="11" borderId="93" xfId="0" applyFill="1" applyBorder="1" applyAlignment="1">
      <alignment horizontal="center"/>
    </xf>
    <xf numFmtId="0" fontId="0" fillId="11" borderId="50" xfId="0" applyFill="1" applyBorder="1" applyAlignment="1">
      <alignment horizontal="center"/>
    </xf>
    <xf numFmtId="0" fontId="0" fillId="11" borderId="61" xfId="0" applyFill="1" applyBorder="1" applyAlignment="1">
      <alignment horizontal="center"/>
    </xf>
    <xf numFmtId="0" fontId="0" fillId="3" borderId="98" xfId="0" applyFont="1" applyFill="1" applyBorder="1" applyAlignment="1">
      <alignment horizontal="left"/>
    </xf>
    <xf numFmtId="0" fontId="0" fillId="3" borderId="34" xfId="0" applyFont="1" applyFill="1" applyBorder="1" applyAlignment="1">
      <alignment horizontal="left"/>
    </xf>
    <xf numFmtId="0" fontId="0" fillId="3" borderId="99" xfId="0" applyFont="1" applyFill="1" applyBorder="1" applyAlignment="1">
      <alignment horizontal="left"/>
    </xf>
    <xf numFmtId="0" fontId="0" fillId="3" borderId="28" xfId="0" applyFont="1" applyFill="1" applyBorder="1" applyAlignment="1">
      <alignment horizontal="left"/>
    </xf>
    <xf numFmtId="0" fontId="0" fillId="3" borderId="101" xfId="0" applyFont="1" applyFill="1" applyBorder="1" applyAlignment="1">
      <alignment horizontal="left"/>
    </xf>
    <xf numFmtId="0" fontId="6" fillId="18" borderId="41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left"/>
    </xf>
    <xf numFmtId="0" fontId="0" fillId="3" borderId="33" xfId="0" applyFont="1" applyFill="1" applyBorder="1" applyAlignment="1">
      <alignment horizontal="left"/>
    </xf>
    <xf numFmtId="0" fontId="0" fillId="3" borderId="97" xfId="0" applyFont="1" applyFill="1" applyBorder="1" applyAlignment="1">
      <alignment horizontal="left"/>
    </xf>
    <xf numFmtId="0" fontId="0" fillId="3" borderId="25" xfId="0" applyFont="1" applyFill="1" applyBorder="1" applyAlignment="1">
      <alignment horizontal="left"/>
    </xf>
    <xf numFmtId="0" fontId="0" fillId="3" borderId="60" xfId="0" applyFont="1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ont="1" applyFill="1" applyAlignment="1">
      <alignment horizontal="left"/>
    </xf>
    <xf numFmtId="0" fontId="6" fillId="18" borderId="19" xfId="0" applyFont="1" applyFill="1" applyBorder="1" applyAlignment="1">
      <alignment horizontal="center" vertical="center" wrapText="1"/>
    </xf>
    <xf numFmtId="0" fontId="6" fillId="18" borderId="40" xfId="0" applyFont="1" applyFill="1" applyBorder="1" applyAlignment="1">
      <alignment horizontal="center" vertical="center" wrapText="1"/>
    </xf>
    <xf numFmtId="0" fontId="6" fillId="18" borderId="20" xfId="0" applyFont="1" applyFill="1" applyBorder="1" applyAlignment="1">
      <alignment horizontal="center" vertical="center" wrapText="1"/>
    </xf>
    <xf numFmtId="0" fontId="6" fillId="18" borderId="22" xfId="0" applyFont="1" applyFill="1" applyBorder="1" applyAlignment="1">
      <alignment horizontal="center" vertical="center" wrapText="1"/>
    </xf>
    <xf numFmtId="0" fontId="6" fillId="18" borderId="23" xfId="0" applyFont="1" applyFill="1" applyBorder="1" applyAlignment="1">
      <alignment horizontal="center" vertical="center" wrapText="1"/>
    </xf>
    <xf numFmtId="49" fontId="0" fillId="3" borderId="107" xfId="0" applyNumberFormat="1" applyFont="1" applyFill="1" applyBorder="1" applyAlignment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49" fontId="0" fillId="3" borderId="108" xfId="0" applyNumberFormat="1" applyFont="1" applyFill="1" applyBorder="1" applyAlignment="1">
      <alignment horizontal="center" vertical="center"/>
    </xf>
    <xf numFmtId="2" fontId="0" fillId="0" borderId="109" xfId="0" applyNumberFormat="1" applyBorder="1" applyAlignment="1">
      <alignment horizontal="center"/>
    </xf>
    <xf numFmtId="169" fontId="5" fillId="3" borderId="48" xfId="0" applyNumberFormat="1" applyFont="1" applyFill="1" applyBorder="1" applyAlignment="1">
      <alignment horizontal="center" vertical="center"/>
    </xf>
    <xf numFmtId="2" fontId="0" fillId="3" borderId="42" xfId="0" applyNumberFormat="1" applyFont="1" applyFill="1" applyBorder="1" applyAlignment="1">
      <alignment horizontal="center" vertical="center"/>
    </xf>
  </cellXfs>
  <cellStyles count="10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Porcentagem" xfId="6" builtinId="5"/>
    <cellStyle name="Vírgula" xfId="7" builtinId="3"/>
    <cellStyle name="Normal 2" xfId="8"/>
    <cellStyle name="Vírgula 2" xfId="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7.xml" /><Relationship Id="rId4" Type="http://schemas.openxmlformats.org/officeDocument/2006/relationships/worksheet" Target="worksheets/sheet2.xml" /><Relationship Id="rId7" Type="http://schemas.openxmlformats.org/officeDocument/2006/relationships/worksheet" Target="worksheets/sheet5.xml" /><Relationship Id="rId17" Type="http://schemas.openxmlformats.org/officeDocument/2006/relationships/worksheet" Target="worksheets/sheet15.xml" /><Relationship Id="rId19" Type="http://schemas.openxmlformats.org/officeDocument/2006/relationships/worksheet" Target="worksheets/sheet17.xml" /><Relationship Id="rId12" Type="http://schemas.openxmlformats.org/officeDocument/2006/relationships/worksheet" Target="worksheets/sheet10.xml" /><Relationship Id="rId5" Type="http://schemas.openxmlformats.org/officeDocument/2006/relationships/worksheet" Target="worksheets/sheet3.xml" /><Relationship Id="rId14" Type="http://schemas.openxmlformats.org/officeDocument/2006/relationships/worksheet" Target="worksheets/sheet12.xml" /><Relationship Id="rId2" Type="http://schemas.openxmlformats.org/officeDocument/2006/relationships/styles" Target="styles.xml" /><Relationship Id="rId15" Type="http://schemas.openxmlformats.org/officeDocument/2006/relationships/worksheet" Target="worksheets/sheet13.xml" /><Relationship Id="rId8" Type="http://schemas.openxmlformats.org/officeDocument/2006/relationships/worksheet" Target="worksheets/sheet6.xml" /><Relationship Id="rId20" Type="http://schemas.openxmlformats.org/officeDocument/2006/relationships/sharedStrings" Target="sharedStrings.xml" /><Relationship Id="rId1" Type="http://schemas.openxmlformats.org/officeDocument/2006/relationships/theme" Target="theme/theme1.xml" /><Relationship Id="rId16" Type="http://schemas.openxmlformats.org/officeDocument/2006/relationships/worksheet" Target="worksheets/sheet14.xml" /><Relationship Id="rId13" Type="http://schemas.openxmlformats.org/officeDocument/2006/relationships/worksheet" Target="worksheets/sheet11.xml" /><Relationship Id="rId3" Type="http://schemas.openxmlformats.org/officeDocument/2006/relationships/worksheet" Target="worksheets/sheet1.xml" /><Relationship Id="rId18" Type="http://schemas.openxmlformats.org/officeDocument/2006/relationships/worksheet" Target="worksheets/sheet16.xml" /><Relationship Id="rId11" Type="http://schemas.openxmlformats.org/officeDocument/2006/relationships/worksheet" Target="worksheets/sheet9.xml" /><Relationship Id="rId10" Type="http://schemas.openxmlformats.org/officeDocument/2006/relationships/worksheet" Target="worksheets/sheet8.xml" /><Relationship Id="rId6" Type="http://schemas.openxmlformats.org/officeDocument/2006/relationships/worksheet" Target="worksheets/sheet4.xml" /><Relationship Id="rId21" Type="http://schemas.openxmlformats.org/officeDocument/2006/relationships/calcChain" Target="calcChain.xml" /></Relationships>
</file>

<file path=xl/ctrProps/ctrProp1.xml><?xml version="1.0" encoding="utf-8"?>
<formControlPr xmlns="http://schemas.microsoft.com/office/spreadsheetml/2009/9/main" objectType="Button" lockText="1"/>
</file>

<file path=xl/ctrProps/ctrProp2.xml><?xml version="1.0" encoding="utf-8"?>
<formControlPr xmlns="http://schemas.microsoft.com/office/spreadsheetml/2009/9/main" objectType="Button" lockText="1"/>
</file>

<file path=xl/ctrProps/ctr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emf" /><Relationship Id="rId1" Type="http://schemas.openxmlformats.org/officeDocument/2006/relationships/image" Target="../media/image2.emf" /><Relationship Id="rId3" Type="http://schemas.openxmlformats.org/officeDocument/2006/relationships/image" Target="../media/image1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2.xml.rels><?xml version="1.0" encoding="UTF-8" standalone="yes"?><Relationships xmlns="http://schemas.openxmlformats.org/package/2006/relationships"><Relationship Id="rId2" Type="http://schemas.openxmlformats.org/officeDocument/2006/relationships/image" Target="../media/image2.png" /><Relationship Id="rId1" Type="http://schemas.openxmlformats.org/officeDocument/2006/relationships/image" Target="../media/image3.pn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14.xml.rels><?xml version="1.0" encoding="UTF-8" standalone="yes"?><Relationships xmlns="http://schemas.openxmlformats.org/package/2006/relationships"><Relationship Id="rId5" Type="http://schemas.openxmlformats.org/officeDocument/2006/relationships/image" Target="../media/image1.wmf" /><Relationship Id="rId4" Type="http://schemas.openxmlformats.org/officeDocument/2006/relationships/image" Target="../media/image2.wmf" /><Relationship Id="rId3" Type="http://schemas.openxmlformats.org/officeDocument/2006/relationships/image" Target="../media/image3.wmf" /><Relationship Id="rId1" Type="http://schemas.openxmlformats.org/officeDocument/2006/relationships/image" Target="../media/image4.wmf" /><Relationship Id="rId6" Type="http://schemas.openxmlformats.org/officeDocument/2006/relationships/image" Target="../media/image5.wmf" /><Relationship Id="rId2" Type="http://schemas.openxmlformats.org/officeDocument/2006/relationships/image" Target="../media/image6.wmf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4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2" Type="http://schemas.openxmlformats.org/officeDocument/2006/relationships/hyperlink" Target="#'BT-MX (LOTEAMENTO)'!Area_de_impressao" /><Relationship Id="rId4" Type="http://schemas.openxmlformats.org/officeDocument/2006/relationships/hyperlink" Target="#EXEMPLO!Titulos_de_impressao" /><Relationship Id="rId1" Type="http://schemas.openxmlformats.org/officeDocument/2006/relationships/hyperlink" Target="#MENU!A1" /><Relationship Id="rId3" Type="http://schemas.openxmlformats.org/officeDocument/2006/relationships/hyperlink" Target="#'BT-MX (CONDOMINIO HORIZONTAL)'!Area_de_impressao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10</xdr:col>
      <xdr:colOff>133350</xdr:colOff>
      <xdr:row>15</xdr:row>
      <xdr:rowOff>95250</xdr:rowOff>
    </xdr:from>
    <xdr:to>
      <xdr:col>13</xdr:col>
      <xdr:colOff>542925</xdr:colOff>
      <xdr:row>39</xdr:row>
      <xdr:rowOff>152400</xdr:rowOff>
    </xdr:to>
    <xdr:sp>
      <xdr:nvSpPr>
        <xdr:cNvPr id="12337" name="Oval 16">
          <a:extLst>
            <a:ext uri="{FF2B5EF4-FFF2-40B4-BE49-F238E27FC236}">
              <a16:creationId xmlns:a16="http://schemas.microsoft.com/office/drawing/2014/main" id="{00000000-0008-0000-0000-000031300000}"/>
            </a:ext>
          </a:extLst>
        </xdr:cNvPr>
        <xdr:cNvSpPr>
          <a:spLocks noChangeArrowheads="1"/>
        </xdr:cNvSpPr>
      </xdr:nvSpPr>
      <xdr:spPr bwMode="auto">
        <a:xfrm>
          <a:off x="6324600" y="2971800"/>
          <a:ext cx="2266950" cy="3943350"/>
        </a:xfrm>
        <a:prstGeom prst="ellipse"/>
        <a:gradFill rotWithShape="0"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2700000" scaled="1"/>
        </a:gradFill>
        <a:ln w="9525">
          <a:solidFill>
            <a:srgbClr val="000000"/>
          </a:solidFill>
          <a:round/>
        </a:ln>
        <a:effectLst>
          <a:outerShdw dist="35921" dir="2700000" algn="ctr" rotWithShape="0">
            <a:prstClr val="black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3</xdr:col>
      <xdr:colOff>114300</xdr:colOff>
      <xdr:row>15</xdr:row>
      <xdr:rowOff>47625</xdr:rowOff>
    </xdr:from>
    <xdr:to>
      <xdr:col>6</xdr:col>
      <xdr:colOff>523875</xdr:colOff>
      <xdr:row>39</xdr:row>
      <xdr:rowOff>104775</xdr:rowOff>
    </xdr:to>
    <xdr:sp>
      <xdr:nvSpPr>
        <xdr:cNvPr id="12338" name="Oval 15">
          <a:extLst>
            <a:ext uri="{FF2B5EF4-FFF2-40B4-BE49-F238E27FC236}">
              <a16:creationId xmlns:a16="http://schemas.microsoft.com/office/drawing/2014/main" id="{00000000-0008-0000-0000-000032300000}"/>
            </a:ext>
          </a:extLst>
        </xdr:cNvPr>
        <xdr:cNvSpPr>
          <a:spLocks noChangeArrowheads="1"/>
        </xdr:cNvSpPr>
      </xdr:nvSpPr>
      <xdr:spPr bwMode="auto">
        <a:xfrm>
          <a:off x="1971675" y="2924175"/>
          <a:ext cx="2266950" cy="3943350"/>
        </a:xfrm>
        <a:prstGeom prst="ellipse"/>
        <a:gradFill rotWithShape="0">
          <a:gsLst>
            <a:gs pos="0">
              <a:srgbClr val="C0C0C0"/>
            </a:gs>
            <a:gs pos="50000">
              <a:srgbClr val="FFFFFF"/>
            </a:gs>
            <a:gs pos="100000">
              <a:srgbClr val="C0C0C0"/>
            </a:gs>
          </a:gsLst>
          <a:lin ang="2700000" scaled="1"/>
        </a:gradFill>
        <a:ln w="9525">
          <a:solidFill>
            <a:srgbClr val="000000"/>
          </a:solidFill>
          <a:round/>
        </a:ln>
        <a:effectLst>
          <a:outerShdw dist="35921" dir="2700000" algn="ctr" rotWithShape="0">
            <a:prstClr val="black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3</xdr:col>
      <xdr:colOff>371475</xdr:colOff>
      <xdr:row>18</xdr:row>
      <xdr:rowOff>66675</xdr:rowOff>
    </xdr:from>
    <xdr:to>
      <xdr:col>6</xdr:col>
      <xdr:colOff>247650</xdr:colOff>
      <xdr:row>38</xdr:row>
      <xdr:rowOff>142875</xdr:rowOff>
    </xdr:to>
    <xdr:pic>
      <xdr:nvPicPr>
        <xdr:cNvPr id="12343" name="Picture 13">
          <a:extLst>
            <a:ext uri="{FF2B5EF4-FFF2-40B4-BE49-F238E27FC236}">
              <a16:creationId xmlns:a16="http://schemas.microsoft.com/office/drawing/2014/main" id="{00000000-0008-0000-0000-0000373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2228850" y="3429000"/>
          <a:ext cx="1733550" cy="33147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428625</xdr:colOff>
      <xdr:row>19</xdr:row>
      <xdr:rowOff>133350</xdr:rowOff>
    </xdr:from>
    <xdr:to>
      <xdr:col>13</xdr:col>
      <xdr:colOff>266700</xdr:colOff>
      <xdr:row>37</xdr:row>
      <xdr:rowOff>85725</xdr:rowOff>
    </xdr:to>
    <xdr:pic>
      <xdr:nvPicPr>
        <xdr:cNvPr id="12344" name="Picture 14">
          <a:extLst>
            <a:ext uri="{FF2B5EF4-FFF2-40B4-BE49-F238E27FC236}">
              <a16:creationId xmlns:a16="http://schemas.microsoft.com/office/drawing/2014/main" id="{00000000-0008-0000-0000-000038300000}"/>
            </a:ext>
          </a:extLst>
        </xdr:cNvPr>
        <xdr:cNvPicPr>
          <a:picLocks noChangeArrowheads="1" noChangeAspect="1"/>
        </xdr:cNvPicPr>
      </xdr:nvPicPr>
      <xdr:blipFill>
        <a:blip r:embed="rId2"/>
        <a:stretch>
          <a:fillRect/>
        </a:stretch>
      </xdr:blipFill>
      <xdr:spPr bwMode="auto">
        <a:xfrm>
          <a:off x="6619875" y="3657600"/>
          <a:ext cx="1695450" cy="28670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154382</xdr:colOff>
      <xdr:row>1</xdr:row>
      <xdr:rowOff>117963</xdr:rowOff>
    </xdr:from>
    <xdr:to>
      <xdr:col>2</xdr:col>
      <xdr:colOff>328985</xdr:colOff>
      <xdr:row>5</xdr:row>
      <xdr:rowOff>161191</xdr:rowOff>
    </xdr:to>
    <xdr:pic>
      <xdr:nvPicPr>
        <xdr:cNvPr id="10" name="Imagem 9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rrowheads="1" noChangeAspect="1"/>
        </xdr:cNvPicPr>
      </xdr:nvPicPr>
      <xdr:blipFill>
        <a:blip r:embed="rId3"/>
        <a:stretch>
          <a:fillRect/>
        </a:stretch>
      </xdr:blipFill>
      <xdr:spPr bwMode="auto">
        <a:xfrm>
          <a:off x="152400" y="257175"/>
          <a:ext cx="1409700" cy="8953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857250</xdr:colOff>
      <xdr:row>9</xdr:row>
      <xdr:rowOff>342900</xdr:rowOff>
    </xdr:from>
    <xdr:to>
      <xdr:col>1</xdr:col>
      <xdr:colOff>1066800</xdr:colOff>
      <xdr:row>10</xdr:row>
      <xdr:rowOff>95250</xdr:rowOff>
    </xdr:to>
    <xdr:sp>
      <xdr:nvSpPr>
        <xdr:cNvPr id="15363" name="Text Box 3">
          <a:extLst>
            <a:ext uri="{FF2B5EF4-FFF2-40B4-BE49-F238E27FC236}">
              <a16:creationId xmlns:a16="http://schemas.microsoft.com/office/drawing/2014/main" id="{00000000-0008-0000-0900-0000033c0000}"/>
            </a:ext>
          </a:extLst>
        </xdr:cNvPr>
        <xdr:cNvSpPr txBox="1">
          <a:spLocks noChangeArrowheads="1"/>
        </xdr:cNvSpPr>
      </xdr:nvSpPr>
      <xdr:spPr bwMode="auto">
        <a:xfrm>
          <a:off x="1838325" y="1952625"/>
          <a:ext cx="209550" cy="1714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lIns="27432" tIns="18288" rIns="0" bIns="0" vertOverflow="clip" wrap="square" anchor="t" upright="1"/>
        <a:lstStyle/>
        <a:p>
          <a:pPr algn="l" rtl="0"/>
          <a:r>
            <a:rPr lang="pt-BR" sz="800" u="none" b="0" i="0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131380</xdr:colOff>
      <xdr:row>1</xdr:row>
      <xdr:rowOff>94885</xdr:rowOff>
    </xdr:from>
    <xdr:to>
      <xdr:col>1</xdr:col>
      <xdr:colOff>334580</xdr:colOff>
      <xdr:row>3</xdr:row>
      <xdr:rowOff>74010</xdr:rowOff>
    </xdr:to>
    <xdr:pic>
      <xdr:nvPicPr>
        <xdr:cNvPr id="4" name="Imagem 49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rrowheads="1" noChangeAspect="1" noRot="1"/>
        </xdr:cNvPicPr>
      </xdr:nvPicPr>
      <xdr:blipFill>
        <a:blip r:embed="rId1"/>
        <a:srcRect l="10784" t="20466" r="10345" b="20156"/>
        <a:stretch>
          <a:fillRect/>
        </a:stretch>
      </xdr:blipFill>
      <xdr:spPr bwMode="auto">
        <a:xfrm>
          <a:off x="133350" y="238125"/>
          <a:ext cx="1181100" cy="400050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125072</xdr:colOff>
      <xdr:row>1</xdr:row>
      <xdr:rowOff>13047</xdr:rowOff>
    </xdr:from>
    <xdr:to>
      <xdr:col>2</xdr:col>
      <xdr:colOff>530695</xdr:colOff>
      <xdr:row>4</xdr:row>
      <xdr:rowOff>205688</xdr:rowOff>
    </xdr:to>
    <xdr:pic>
      <xdr:nvPicPr>
        <xdr:cNvPr id="2" name="Imagem 1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23825" y="152400"/>
          <a:ext cx="1095375" cy="7715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342900</xdr:colOff>
          <xdr:row>2</xdr:row>
          <xdr:rowOff>133350</xdr:rowOff>
        </xdr:from>
        <xdr:to>
          <xdr:col>24</xdr:col>
          <xdr:colOff>1028700</xdr:colOff>
          <xdr:row>4</xdr:row>
          <xdr:rowOff>95250</xdr:rowOff>
        </xdr:to>
        <xdr:sp macro="[0]!Macro1">
          <xdr:nvSpPr>
            <xdr:cNvPr id="36865" name="Button 8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c00-000001900000}"/>
                </a:ext>
              </a:extLst>
            </xdr:cNvPr>
            <xdr:cNvSpPr>
              <a:spLocks noRot="1"/>
            </xdr:cNvSpPr>
          </xdr:nvSpPr>
          <xdr:spPr>
            <a:xfrm>
              <a:off x="12020550" y="619125"/>
              <a:ext cx="685800" cy="276225"/>
            </a:xfrm>
            <a:prstGeom prst="rect"/>
            <a:ln>
              <a:noFill/>
            </a:ln>
          </xdr:spPr>
          <xdr:txBody>
            <a:bodyPr lIns="27432" tIns="22860" rIns="27432" bIns="22860" vertOverflow="clip" wrap="square" anchor="ctr" upright="1"/>
            <a:p>
              <a:pPr algn="ctr" rtl="0"/>
              <a:r>
                <a:rPr lang="pt-BR" sz="1000" u="none" b="0" i="0" baseline="0">
                  <a:solidFill>
                    <a:srgbClr val="000000"/>
                  </a:solidFill>
                  <a:latin typeface="Arial"/>
                  <a:cs typeface="Arial"/>
                </a:rPr>
                <a:t>Limpar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34</xdr:col>
      <xdr:colOff>47625</xdr:colOff>
      <xdr:row>0</xdr:row>
      <xdr:rowOff>7937</xdr:rowOff>
    </xdr:from>
    <xdr:to>
      <xdr:col>39</xdr:col>
      <xdr:colOff>357431</xdr:colOff>
      <xdr:row>21</xdr:row>
      <xdr:rowOff>150167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06375" y="9525"/>
          <a:ext cx="5200650" cy="4352925"/>
        </a:xfrm>
        <a:prstGeom prst="rect"/>
      </xdr:spPr>
    </xdr:pic>
    <xdr:clientData/>
  </xdr:twoCellAnchor>
  <xdr:twoCellAnchor editAs="oneCell">
    <xdr:from>
      <xdr:col>0</xdr:col>
      <xdr:colOff>95251</xdr:colOff>
      <xdr:row>1</xdr:row>
      <xdr:rowOff>0</xdr:rowOff>
    </xdr:from>
    <xdr:to>
      <xdr:col>3</xdr:col>
      <xdr:colOff>555851</xdr:colOff>
      <xdr:row>3</xdr:row>
      <xdr:rowOff>77387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c7eebd4-a50a-4b16-8edd-613faf8f578f}"/>
            </a:ext>
          </a:extLst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0" y="228600"/>
          <a:ext cx="1866900" cy="495300"/>
        </a:xfrm>
        <a:prstGeom prst="rect"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857250</xdr:colOff>
      <xdr:row>9</xdr:row>
      <xdr:rowOff>342900</xdr:rowOff>
    </xdr:from>
    <xdr:to>
      <xdr:col>1</xdr:col>
      <xdr:colOff>1066800</xdr:colOff>
      <xdr:row>10</xdr:row>
      <xdr:rowOff>95250</xdr:rowOff>
    </xdr:to>
    <xdr:sp>
      <xdr:nvSpPr>
        <xdr:cNvPr id="2" name="Text Box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838325" y="1952625"/>
          <a:ext cx="209550" cy="1714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lIns="27432" tIns="18288" rIns="0" bIns="0" vertOverflow="clip" wrap="square" anchor="t" upright="1"/>
        <a:lstStyle/>
        <a:p>
          <a:pPr algn="l" rtl="0"/>
          <a:r>
            <a:rPr lang="pt-BR" sz="800" u="none" b="0" i="0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131380</xdr:colOff>
      <xdr:row>1</xdr:row>
      <xdr:rowOff>94885</xdr:rowOff>
    </xdr:from>
    <xdr:to>
      <xdr:col>1</xdr:col>
      <xdr:colOff>334580</xdr:colOff>
      <xdr:row>3</xdr:row>
      <xdr:rowOff>74010</xdr:rowOff>
    </xdr:to>
    <xdr:pic>
      <xdr:nvPicPr>
        <xdr:cNvPr id="3" name="Imagem 49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rrowheads="1" noChangeAspect="1" noRot="1"/>
        </xdr:cNvPicPr>
      </xdr:nvPicPr>
      <xdr:blipFill>
        <a:blip r:embed="rId1"/>
        <a:srcRect l="10784" t="20466" r="10345" b="20156"/>
        <a:stretch>
          <a:fillRect/>
        </a:stretch>
      </xdr:blipFill>
      <xdr:spPr bwMode="auto">
        <a:xfrm>
          <a:off x="133350" y="238125"/>
          <a:ext cx="1181100" cy="400050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57150</xdr:colOff>
      <xdr:row>4</xdr:row>
      <xdr:rowOff>133350</xdr:rowOff>
    </xdr:from>
    <xdr:to>
      <xdr:col>4</xdr:col>
      <xdr:colOff>457200</xdr:colOff>
      <xdr:row>15</xdr:row>
      <xdr:rowOff>47625</xdr:rowOff>
    </xdr:to>
    <xdr:pic>
      <xdr:nvPicPr>
        <xdr:cNvPr id="7204" name="Picture 1">
          <a:extLst>
            <a:ext uri="{FF2B5EF4-FFF2-40B4-BE49-F238E27FC236}">
              <a16:creationId xmlns:a16="http://schemas.microsoft.com/office/drawing/2014/main" id="{00000000-0008-0000-0d00-0000241c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666750" y="781050"/>
          <a:ext cx="2228850" cy="16954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66675</xdr:rowOff>
    </xdr:from>
    <xdr:to>
      <xdr:col>9</xdr:col>
      <xdr:colOff>381000</xdr:colOff>
      <xdr:row>15</xdr:row>
      <xdr:rowOff>38100</xdr:rowOff>
    </xdr:to>
    <xdr:pic>
      <xdr:nvPicPr>
        <xdr:cNvPr id="7205" name="Picture 2">
          <a:extLst>
            <a:ext uri="{FF2B5EF4-FFF2-40B4-BE49-F238E27FC236}">
              <a16:creationId xmlns:a16="http://schemas.microsoft.com/office/drawing/2014/main" id="{00000000-0008-0000-0d00-0000251c0000}"/>
            </a:ext>
          </a:extLst>
        </xdr:cNvPr>
        <xdr:cNvPicPr>
          <a:picLocks noChangeArrowheads="1" noChangeAspect="1"/>
        </xdr:cNvPicPr>
      </xdr:nvPicPr>
      <xdr:blipFill>
        <a:blip r:embed="rId2"/>
        <a:stretch>
          <a:fillRect/>
        </a:stretch>
      </xdr:blipFill>
      <xdr:spPr bwMode="auto">
        <a:xfrm>
          <a:off x="3657600" y="1038225"/>
          <a:ext cx="2209800" cy="14287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123825</xdr:colOff>
      <xdr:row>6</xdr:row>
      <xdr:rowOff>104775</xdr:rowOff>
    </xdr:from>
    <xdr:to>
      <xdr:col>12</xdr:col>
      <xdr:colOff>581025</xdr:colOff>
      <xdr:row>15</xdr:row>
      <xdr:rowOff>38100</xdr:rowOff>
    </xdr:to>
    <xdr:pic>
      <xdr:nvPicPr>
        <xdr:cNvPr id="7206" name="Picture 3">
          <a:extLst>
            <a:ext uri="{FF2B5EF4-FFF2-40B4-BE49-F238E27FC236}">
              <a16:creationId xmlns:a16="http://schemas.microsoft.com/office/drawing/2014/main" id="{00000000-0008-0000-0d00-0000261c0000}"/>
            </a:ext>
          </a:extLst>
        </xdr:cNvPr>
        <xdr:cNvPicPr preferRelativeResize="0">
          <a:picLocks noChangeArrowheads="1"/>
        </xdr:cNvPicPr>
      </xdr:nvPicPr>
      <xdr:blipFill>
        <a:blip r:embed="rId3"/>
        <a:stretch>
          <a:fillRect/>
        </a:stretch>
      </xdr:blipFill>
      <xdr:spPr bwMode="auto">
        <a:xfrm>
          <a:off x="7439025" y="1076325"/>
          <a:ext cx="457200" cy="1390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123825</xdr:colOff>
      <xdr:row>27</xdr:row>
      <xdr:rowOff>114300</xdr:rowOff>
    </xdr:from>
    <xdr:to>
      <xdr:col>13</xdr:col>
      <xdr:colOff>114300</xdr:colOff>
      <xdr:row>36</xdr:row>
      <xdr:rowOff>47625</xdr:rowOff>
    </xdr:to>
    <xdr:pic>
      <xdr:nvPicPr>
        <xdr:cNvPr id="7207" name="Picture 4">
          <a:extLst>
            <a:ext uri="{FF2B5EF4-FFF2-40B4-BE49-F238E27FC236}">
              <a16:creationId xmlns:a16="http://schemas.microsoft.com/office/drawing/2014/main" id="{00000000-0008-0000-0d00-0000271c0000}"/>
            </a:ext>
          </a:extLst>
        </xdr:cNvPr>
        <xdr:cNvPicPr>
          <a:picLocks noChangeArrowheads="1" noChangeAspect="1"/>
        </xdr:cNvPicPr>
      </xdr:nvPicPr>
      <xdr:blipFill>
        <a:blip r:embed="rId4"/>
        <a:stretch>
          <a:fillRect/>
        </a:stretch>
      </xdr:blipFill>
      <xdr:spPr bwMode="auto">
        <a:xfrm>
          <a:off x="7439025" y="4524375"/>
          <a:ext cx="600075" cy="14192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209550</xdr:colOff>
      <xdr:row>27</xdr:row>
      <xdr:rowOff>123825</xdr:rowOff>
    </xdr:from>
    <xdr:to>
      <xdr:col>8</xdr:col>
      <xdr:colOff>161925</xdr:colOff>
      <xdr:row>36</xdr:row>
      <xdr:rowOff>66675</xdr:rowOff>
    </xdr:to>
    <xdr:pic>
      <xdr:nvPicPr>
        <xdr:cNvPr id="7208" name="Picture 5">
          <a:extLst>
            <a:ext uri="{FF2B5EF4-FFF2-40B4-BE49-F238E27FC236}">
              <a16:creationId xmlns:a16="http://schemas.microsoft.com/office/drawing/2014/main" id="{00000000-0008-0000-0d00-0000281c0000}"/>
            </a:ext>
          </a:extLst>
        </xdr:cNvPr>
        <xdr:cNvPicPr>
          <a:picLocks noChangeArrowheads="1"/>
        </xdr:cNvPicPr>
      </xdr:nvPicPr>
      <xdr:blipFill>
        <a:blip r:embed="rId5"/>
        <a:stretch>
          <a:fillRect/>
        </a:stretch>
      </xdr:blipFill>
      <xdr:spPr bwMode="auto">
        <a:xfrm>
          <a:off x="4476750" y="4533900"/>
          <a:ext cx="561975" cy="14287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219075</xdr:colOff>
      <xdr:row>27</xdr:row>
      <xdr:rowOff>104775</xdr:rowOff>
    </xdr:from>
    <xdr:to>
      <xdr:col>3</xdr:col>
      <xdr:colOff>209550</xdr:colOff>
      <xdr:row>36</xdr:row>
      <xdr:rowOff>57150</xdr:rowOff>
    </xdr:to>
    <xdr:pic>
      <xdr:nvPicPr>
        <xdr:cNvPr id="7209" name="Picture 6">
          <a:extLst>
            <a:ext uri="{FF2B5EF4-FFF2-40B4-BE49-F238E27FC236}">
              <a16:creationId xmlns:a16="http://schemas.microsoft.com/office/drawing/2014/main" id="{00000000-0008-0000-0d00-0000291c0000}"/>
            </a:ext>
          </a:extLst>
        </xdr:cNvPr>
        <xdr:cNvPicPr>
          <a:picLocks noChangeArrowheads="1"/>
        </xdr:cNvPicPr>
      </xdr:nvPicPr>
      <xdr:blipFill>
        <a:blip r:embed="rId6"/>
        <a:stretch>
          <a:fillRect/>
        </a:stretch>
      </xdr:blipFill>
      <xdr:spPr bwMode="auto">
        <a:xfrm flipH="1">
          <a:off x="1438275" y="4514850"/>
          <a:ext cx="600075" cy="14382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571500</xdr:colOff>
      <xdr:row>0</xdr:row>
      <xdr:rowOff>104775</xdr:rowOff>
    </xdr:from>
    <xdr:to>
      <xdr:col>10</xdr:col>
      <xdr:colOff>104775</xdr:colOff>
      <xdr:row>2</xdr:row>
      <xdr:rowOff>66675</xdr:rowOff>
    </xdr:to>
    <xdr:sp>
      <xdr:nvSpPr>
        <xdr:cNvPr id="7175" name="WordArt 7">
          <a:extLst>
            <a:ext uri="{FF2B5EF4-FFF2-40B4-BE49-F238E27FC236}">
              <a16:creationId xmlns:a16="http://schemas.microsoft.com/office/drawing/2014/main" id="{00000000-0008-0000-0d00-0000071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619500" y="104775"/>
          <a:ext cx="2581275" cy="285750"/>
        </a:xfrm>
        <a:prstGeom prst="rect"/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fromWordArt="1" wrap="none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pt-BR" sz="1600" kern="10" spc="0">
              <a:ln>
                <a:noFill/>
              </a:ln>
              <a:gradFill rotWithShape="0">
                <a:gsLst>
                  <a:gs pos="0">
                    <a:srgbClr val="000080"/>
                  </a:gs>
                  <a:gs pos="100000">
                    <a:srgbClr val="0000FF"/>
                  </a:gs>
                </a:gsLst>
                <a:path path="rect">
                  <a:fillToRect r="100000" b="100000"/>
                </a:path>
              </a:gradFill>
              <a:effectLst>
                <a:outerShdw dist="35921" dir="2700000" algn="ctr" rotWithShape="0">
                  <a:srgbClr val="C0C0C0"/>
                </a:outerShdw>
              </a:effectLst>
              <a:latin typeface="Impact"/>
            </a:rPr>
            <a:t>Espaçamentos Equivalentes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133350</xdr:colOff>
      <xdr:row>1</xdr:row>
      <xdr:rowOff>123825</xdr:rowOff>
    </xdr:from>
    <xdr:to>
      <xdr:col>8</xdr:col>
      <xdr:colOff>438150</xdr:colOff>
      <xdr:row>2</xdr:row>
      <xdr:rowOff>142875</xdr:rowOff>
    </xdr:to>
    <xdr:sp>
      <xdr:nvSpPr>
        <xdr:cNvPr id="6145" name="WordArt 1">
          <a:extLst>
            <a:ext uri="{FF2B5EF4-FFF2-40B4-BE49-F238E27FC236}">
              <a16:creationId xmlns:a16="http://schemas.microsoft.com/office/drawing/2014/main" id="{00000000-0008-0000-0e00-00000118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943350" y="285750"/>
          <a:ext cx="1543050" cy="180975"/>
        </a:xfrm>
        <a:prstGeom prst="rect"/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fromWordArt="1" wrap="none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pt-BR" sz="1600" kern="10" spc="0">
              <a:ln>
                <a:noFill/>
              </a:ln>
              <a:gradFill rotWithShape="0">
                <a:gsLst>
                  <a:gs pos="0">
                    <a:srgbClr val="000080"/>
                  </a:gs>
                  <a:gs pos="100000">
                    <a:srgbClr val="0000FF"/>
                  </a:gs>
                </a:gsLst>
                <a:path path="rect">
                  <a:fillToRect r="100000" b="100000"/>
                </a:path>
              </a:gradFill>
              <a:effectLst>
                <a:outerShdw dist="35921" dir="2700000" algn="ctr" rotWithShape="0">
                  <a:srgbClr val="C0C0C0"/>
                </a:outerShdw>
              </a:effectLst>
              <a:latin typeface="Impact"/>
            </a:rPr>
            <a:t>Fórmulas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5</xdr:col>
      <xdr:colOff>352425</xdr:colOff>
      <xdr:row>6</xdr:row>
      <xdr:rowOff>158002</xdr:rowOff>
    </xdr:from>
    <xdr:to>
      <xdr:col>14</xdr:col>
      <xdr:colOff>534644</xdr:colOff>
      <xdr:row>22</xdr:row>
      <xdr:rowOff>48181</xdr:rowOff>
    </xdr:to>
    <xdr:pic>
      <xdr:nvPicPr>
        <xdr:cNvPr id="2" name="Imagem 1" descr="Recorte de Tela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1133475"/>
          <a:ext cx="5667375" cy="3048000"/>
        </a:xfrm>
        <a:prstGeom prst="rect"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190500</xdr:colOff>
      <xdr:row>1</xdr:row>
      <xdr:rowOff>12700</xdr:rowOff>
    </xdr:from>
    <xdr:to>
      <xdr:col>3</xdr:col>
      <xdr:colOff>167787</xdr:colOff>
      <xdr:row>5</xdr:row>
      <xdr:rowOff>32238</xdr:rowOff>
    </xdr:to>
    <xdr:pic>
      <xdr:nvPicPr>
        <xdr:cNvPr id="4" name="Imagem 3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90500" y="152400"/>
          <a:ext cx="1209675" cy="8191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9</xdr:col>
      <xdr:colOff>488950</xdr:colOff>
      <xdr:row>0</xdr:row>
      <xdr:rowOff>107950</xdr:rowOff>
    </xdr:from>
    <xdr:to>
      <xdr:col>13</xdr:col>
      <xdr:colOff>31750</xdr:colOff>
      <xdr:row>3</xdr:row>
      <xdr:rowOff>127000</xdr:rowOff>
    </xdr:to>
    <xdr:sp>
      <xdr:nvSpPr>
        <xdr:cNvPr id="3" name="Retângulo Arredondado 2">
          <a:hlinkClick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5800725" y="104775"/>
          <a:ext cx="1981200" cy="504825"/>
        </a:xfrm>
        <a:prstGeom prst="roundRect"/>
        <a:solidFill>
          <a:schemeClr val="accent5">
            <a:lumMod val="75000"/>
          </a:schemeClr>
        </a:solidFill>
        <a:ln>
          <a:solidFill>
            <a:schemeClr val="accent1"/>
          </a:solidFill>
          <a:headEnd type="none" len="med" w="med"/>
          <a:tailEnd type="none" len="med" w="med"/>
        </a:ln>
        <a:effectLst/>
        <a:scene3d>
          <a:camera prst="orthographicFront"/>
          <a:lightRig rig="threePt" dir="t"/>
        </a:scene3d>
        <a:sp3d>
          <a:bevelT/>
        </a:sp3d>
        <a:extLst>
          <a:ext uri="{53640926-AAD7-44D8-BBD7-CCE9431645EC}">
            <a14:shadowObscured xmlns:a14="http://schemas.microsoft.com/office/drawing/2010/main" val="1"/>
          </a:ext>
        </a:extLst>
      </xdr:spPr>
      <xdr:style>
        <a:lnRef idx="2">
          <a:schemeClr val="accent1"/>
        </a:lnRef>
        <a:fillRef idx="1">
          <a:schemeClr val="bg1"/>
        </a:fillRef>
        <a:effectRef idx="0">
          <a:schemeClr val="accent1"/>
        </a:effectRef>
        <a:fontRef idx="minor">
          <a:schemeClr val="tx1"/>
        </a:fontRef>
      </xdr:style>
      <xdr:txBody>
        <a:bodyPr lIns="18288" tIns="0" rIns="0" bIns="0" vertOverflow="clip" horzOverflow="clip" wrap="square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444500</xdr:colOff>
      <xdr:row>1</xdr:row>
      <xdr:rowOff>88900</xdr:rowOff>
    </xdr:from>
    <xdr:to>
      <xdr:col>12</xdr:col>
      <xdr:colOff>50800</xdr:colOff>
      <xdr:row>2</xdr:row>
      <xdr:rowOff>133350</xdr:rowOff>
    </xdr:to>
    <xdr:sp>
      <xdr:nvSpPr>
        <xdr:cNvPr id="4" name="CaixaDeTex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372225" y="247650"/>
          <a:ext cx="828675" cy="209550"/>
        </a:xfrm>
        <a:prstGeom prst="rect"/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600" b="1">
              <a:solidFill>
                <a:schemeClr val="bg1"/>
              </a:solidFill>
            </a:rPr>
            <a:t>MENU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9</xdr:col>
      <xdr:colOff>114300</xdr:colOff>
      <xdr:row>8</xdr:row>
      <xdr:rowOff>50800</xdr:rowOff>
    </xdr:to>
    <xdr:sp>
      <xdr:nvSpPr>
        <xdr:cNvPr id="6" name="Retângulo Arredondado 5">
          <a:hlinkClick r:id="rId2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 bwMode="auto">
        <a:xfrm>
          <a:off x="3486150" y="809625"/>
          <a:ext cx="1943100" cy="533400"/>
        </a:xfrm>
        <a:prstGeom prst="roundRect"/>
        <a:solidFill>
          <a:schemeClr val="accent5">
            <a:lumMod val="75000"/>
          </a:schemeClr>
        </a:solidFill>
        <a:ln>
          <a:solidFill>
            <a:schemeClr val="accent1"/>
          </a:solidFill>
          <a:headEnd type="none" len="med" w="med"/>
          <a:tailEnd type="none" len="med" w="med"/>
        </a:ln>
        <a:effectLst/>
        <a:scene3d>
          <a:camera prst="orthographicFront"/>
          <a:lightRig rig="threePt" dir="t"/>
        </a:scene3d>
        <a:sp3d>
          <a:bevelT/>
        </a:sp3d>
        <a:extLst>
          <a:ext uri="{53640926-AAD7-44D8-BBD7-CCE9431645EC}">
            <a14:shadowObscured xmlns:a14="http://schemas.microsoft.com/office/drawing/2010/main" val="1"/>
          </a:ext>
        </a:extLst>
      </xdr:spPr>
      <xdr:style>
        <a:lnRef idx="2">
          <a:schemeClr val="accent1"/>
        </a:lnRef>
        <a:fillRef idx="1">
          <a:schemeClr val="bg1"/>
        </a:fillRef>
        <a:effectRef idx="0">
          <a:schemeClr val="accent1"/>
        </a:effectRef>
        <a:fontRef idx="minor">
          <a:schemeClr val="tx1"/>
        </a:fontRef>
      </xdr:style>
      <xdr:txBody>
        <a:bodyPr lIns="18288" tIns="0" rIns="0" bIns="0" vertOverflow="clip" horzOverflow="clip" wrap="square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488950</xdr:colOff>
      <xdr:row>4</xdr:row>
      <xdr:rowOff>139700</xdr:rowOff>
    </xdr:from>
    <xdr:to>
      <xdr:col>13</xdr:col>
      <xdr:colOff>31750</xdr:colOff>
      <xdr:row>8</xdr:row>
      <xdr:rowOff>44450</xdr:rowOff>
    </xdr:to>
    <xdr:sp>
      <xdr:nvSpPr>
        <xdr:cNvPr id="8" name="Retângulo Arredondado 7">
          <a:hlinkClick r:id="rId3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 bwMode="auto">
        <a:xfrm>
          <a:off x="5800725" y="790575"/>
          <a:ext cx="1981200" cy="552450"/>
        </a:xfrm>
        <a:prstGeom prst="roundRect"/>
        <a:solidFill>
          <a:schemeClr val="accent5">
            <a:lumMod val="75000"/>
          </a:schemeClr>
        </a:solidFill>
        <a:ln>
          <a:solidFill>
            <a:schemeClr val="accent1"/>
          </a:solidFill>
          <a:headEnd type="none" len="med" w="med"/>
          <a:tailEnd type="none" len="med" w="med"/>
        </a:ln>
        <a:effectLst/>
        <a:scene3d>
          <a:camera prst="orthographicFront"/>
          <a:lightRig rig="threePt" dir="t"/>
        </a:scene3d>
        <a:sp3d>
          <a:bevelT/>
        </a:sp3d>
        <a:extLst>
          <a:ext uri="{53640926-AAD7-44D8-BBD7-CCE9431645EC}">
            <a14:shadowObscured xmlns:a14="http://schemas.microsoft.com/office/drawing/2010/main" val="1"/>
          </a:ext>
        </a:extLst>
      </xdr:spPr>
      <xdr:style>
        <a:lnRef idx="2">
          <a:schemeClr val="accent1"/>
        </a:lnRef>
        <a:fillRef idx="1">
          <a:schemeClr val="bg1"/>
        </a:fillRef>
        <a:effectRef idx="0">
          <a:schemeClr val="accent1"/>
        </a:effectRef>
        <a:fontRef idx="minor">
          <a:schemeClr val="tx1"/>
        </a:fontRef>
      </xdr:style>
      <xdr:txBody>
        <a:bodyPr lIns="18288" tIns="0" rIns="0" bIns="0" vertOverflow="clip" horzOverflow="clip" wrap="square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368300</xdr:colOff>
      <xdr:row>4</xdr:row>
      <xdr:rowOff>152400</xdr:rowOff>
    </xdr:from>
    <xdr:to>
      <xdr:col>16</xdr:col>
      <xdr:colOff>520700</xdr:colOff>
      <xdr:row>8</xdr:row>
      <xdr:rowOff>12700</xdr:rowOff>
    </xdr:to>
    <xdr:sp>
      <xdr:nvSpPr>
        <xdr:cNvPr id="9" name="Retângulo Arredondado 8">
          <a:hlinkClick r:id="rId4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 bwMode="auto">
        <a:xfrm>
          <a:off x="8124825" y="800100"/>
          <a:ext cx="1981200" cy="504825"/>
        </a:xfrm>
        <a:prstGeom prst="roundRect"/>
        <a:solidFill>
          <a:schemeClr val="accent5">
            <a:lumMod val="75000"/>
          </a:schemeClr>
        </a:solidFill>
        <a:ln>
          <a:solidFill>
            <a:schemeClr val="accent1"/>
          </a:solidFill>
          <a:headEnd type="none" len="med" w="med"/>
          <a:tailEnd type="none" len="med" w="med"/>
        </a:ln>
        <a:effectLst/>
        <a:scene3d>
          <a:camera prst="orthographicFront"/>
          <a:lightRig rig="threePt" dir="t"/>
        </a:scene3d>
        <a:sp3d>
          <a:bevelT/>
        </a:sp3d>
        <a:extLst>
          <a:ext uri="{53640926-AAD7-44D8-BBD7-CCE9431645EC}">
            <a14:shadowObscured xmlns:a14="http://schemas.microsoft.com/office/drawing/2010/main" val="1"/>
          </a:ext>
        </a:extLst>
      </xdr:spPr>
      <xdr:style>
        <a:lnRef idx="2">
          <a:schemeClr val="accent1"/>
        </a:lnRef>
        <a:fillRef idx="1">
          <a:schemeClr val="bg1"/>
        </a:fillRef>
        <a:effectRef idx="0">
          <a:schemeClr val="accent1"/>
        </a:effectRef>
        <a:fontRef idx="minor">
          <a:schemeClr val="tx1"/>
        </a:fontRef>
      </xdr:style>
      <xdr:txBody>
        <a:bodyPr lIns="18288" tIns="0" rIns="0" bIns="0" vertOverflow="clip" horzOverflow="clip" wrap="square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254000</xdr:colOff>
      <xdr:row>5</xdr:row>
      <xdr:rowOff>31750</xdr:rowOff>
    </xdr:from>
    <xdr:to>
      <xdr:col>8</xdr:col>
      <xdr:colOff>552450</xdr:colOff>
      <xdr:row>7</xdr:row>
      <xdr:rowOff>107950</xdr:rowOff>
    </xdr:to>
    <xdr:sp>
      <xdr:nvSpPr>
        <xdr:cNvPr id="10" name="CaixaDeText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3743325" y="838200"/>
          <a:ext cx="1514475" cy="400050"/>
        </a:xfrm>
        <a:prstGeom prst="rect"/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t"/>
        <a:lstStyle/>
        <a:p>
          <a:pPr/>
          <a:r>
            <a:rPr lang="en-US" sz="900" b="1">
              <a:solidFill>
                <a:schemeClr val="bg1"/>
              </a:solidFill>
            </a:rPr>
            <a:t>Cálculo</a:t>
          </a:r>
          <a:r>
            <a:rPr lang="en-US" sz="900" b="1" baseline="0">
              <a:solidFill>
                <a:schemeClr val="bg1"/>
              </a:solidFill>
            </a:rPr>
            <a:t> Queda de Tensão - Loteamentos</a:t>
          </a:r>
          <a:endParaRPr lang="en-US" sz="900" b="1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158750</xdr:colOff>
      <xdr:row>5</xdr:row>
      <xdr:rowOff>44450</xdr:rowOff>
    </xdr:from>
    <xdr:to>
      <xdr:col>12</xdr:col>
      <xdr:colOff>457200</xdr:colOff>
      <xdr:row>7</xdr:row>
      <xdr:rowOff>120650</xdr:rowOff>
    </xdr:to>
    <xdr:sp>
      <xdr:nvSpPr>
        <xdr:cNvPr id="11" name="CaixaDeTexto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086475" y="857250"/>
          <a:ext cx="1514475" cy="400050"/>
        </a:xfrm>
        <a:prstGeom prst="rect"/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t"/>
        <a:lstStyle/>
        <a:p>
          <a:pPr/>
          <a:r>
            <a:rPr lang="en-US" sz="900" b="1">
              <a:solidFill>
                <a:schemeClr val="bg1"/>
              </a:solidFill>
            </a:rPr>
            <a:t>Cálculo</a:t>
          </a:r>
          <a:r>
            <a:rPr lang="en-US" sz="900" b="1" baseline="0">
              <a:solidFill>
                <a:schemeClr val="bg1"/>
              </a:solidFill>
            </a:rPr>
            <a:t> Queda de Tensão - Condominios Horizontais</a:t>
          </a:r>
          <a:endParaRPr lang="en-US" sz="900" b="1">
            <a:solidFill>
              <a:schemeClr val="bg1"/>
            </a:solidFill>
          </a:endParaRPr>
        </a:p>
      </xdr:txBody>
    </xdr:sp>
    <xdr:clientData/>
  </xdr:twoCellAnchor>
  <xdr:twoCellAnchor>
    <xdr:from>
      <xdr:col>14</xdr:col>
      <xdr:colOff>25400</xdr:colOff>
      <xdr:row>5</xdr:row>
      <xdr:rowOff>19050</xdr:rowOff>
    </xdr:from>
    <xdr:to>
      <xdr:col>16</xdr:col>
      <xdr:colOff>323850</xdr:colOff>
      <xdr:row>7</xdr:row>
      <xdr:rowOff>95250</xdr:rowOff>
    </xdr:to>
    <xdr:sp>
      <xdr:nvSpPr>
        <xdr:cNvPr id="12" name="CaixaDeText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8391525" y="828675"/>
          <a:ext cx="1514475" cy="400050"/>
        </a:xfrm>
        <a:prstGeom prst="rect"/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t"/>
        <a:lstStyle/>
        <a:p>
          <a:pPr/>
          <a:r>
            <a:rPr lang="en-US" sz="900" b="1">
              <a:solidFill>
                <a:schemeClr val="bg1"/>
              </a:solidFill>
            </a:rPr>
            <a:t>Cálculo</a:t>
          </a:r>
          <a:r>
            <a:rPr lang="en-US" sz="900" b="1" baseline="0">
              <a:solidFill>
                <a:schemeClr val="bg1"/>
              </a:solidFill>
            </a:rPr>
            <a:t> Queda de Tensão - Exemplo ( Diagrama)</a:t>
          </a:r>
          <a:endParaRPr lang="en-US" sz="900" b="1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342900</xdr:colOff>
          <xdr:row>2</xdr:row>
          <xdr:rowOff>133350</xdr:rowOff>
        </xdr:from>
        <xdr:to>
          <xdr:col>24</xdr:col>
          <xdr:colOff>1028700</xdr:colOff>
          <xdr:row>4</xdr:row>
          <xdr:rowOff>95250</xdr:rowOff>
        </xdr:to>
        <xdr:sp macro="[0]!Macro1">
          <xdr:nvSpPr>
            <xdr:cNvPr id="17416" name="Button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400-000008440000}"/>
                </a:ext>
              </a:extLst>
            </xdr:cNvPr>
            <xdr:cNvSpPr>
              <a:spLocks noRot="1"/>
            </xdr:cNvSpPr>
          </xdr:nvSpPr>
          <xdr:spPr>
            <a:xfrm>
              <a:off x="12020550" y="619125"/>
              <a:ext cx="685800" cy="276225"/>
            </a:xfrm>
            <a:prstGeom prst="rect"/>
            <a:ln>
              <a:noFill/>
            </a:ln>
          </xdr:spPr>
          <xdr:txBody>
            <a:bodyPr lIns="27432" tIns="22860" rIns="27432" bIns="22860" vertOverflow="clip" wrap="square" anchor="ctr" upright="1"/>
            <a:p>
              <a:pPr algn="ctr" rtl="0"/>
              <a:r>
                <a:rPr lang="pt-BR" sz="1000" u="none" b="0" i="0" baseline="0">
                  <a:solidFill>
                    <a:srgbClr val="000000"/>
                  </a:solidFill>
                  <a:latin typeface="Arial"/>
                  <a:cs typeface="Arial"/>
                </a:rPr>
                <a:t>Limpar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95249</xdr:colOff>
      <xdr:row>1</xdr:row>
      <xdr:rowOff>0</xdr:rowOff>
    </xdr:from>
    <xdr:to>
      <xdr:col>3</xdr:col>
      <xdr:colOff>555849</xdr:colOff>
      <xdr:row>3</xdr:row>
      <xdr:rowOff>77387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4a6e2a-3de9-47e9-8d7f-0e19a1b28dac}"/>
            </a:ext>
          </a:extLst>
        </xdr:cNvPr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228600"/>
          <a:ext cx="1866900" cy="495300"/>
        </a:xfrm>
        <a:prstGeom prst="rect"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857250</xdr:colOff>
      <xdr:row>9</xdr:row>
      <xdr:rowOff>342900</xdr:rowOff>
    </xdr:from>
    <xdr:to>
      <xdr:col>1</xdr:col>
      <xdr:colOff>1066800</xdr:colOff>
      <xdr:row>10</xdr:row>
      <xdr:rowOff>95250</xdr:rowOff>
    </xdr:to>
    <xdr:sp>
      <xdr:nvSpPr>
        <xdr:cNvPr id="2" name="Text Box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838325" y="1952625"/>
          <a:ext cx="209550" cy="1714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lIns="27432" tIns="18288" rIns="0" bIns="0" vertOverflow="clip" wrap="square" anchor="t" upright="1"/>
        <a:lstStyle/>
        <a:p>
          <a:pPr algn="l" rtl="0"/>
          <a:r>
            <a:rPr lang="pt-BR" sz="800" u="none" b="0" i="0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131380</xdr:colOff>
      <xdr:row>1</xdr:row>
      <xdr:rowOff>94885</xdr:rowOff>
    </xdr:from>
    <xdr:to>
      <xdr:col>1</xdr:col>
      <xdr:colOff>334580</xdr:colOff>
      <xdr:row>3</xdr:row>
      <xdr:rowOff>74010</xdr:rowOff>
    </xdr:to>
    <xdr:pic>
      <xdr:nvPicPr>
        <xdr:cNvPr id="3" name="Imagem 49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rrowheads="1" noChangeAspect="1" noRot="1"/>
        </xdr:cNvPicPr>
      </xdr:nvPicPr>
      <xdr:blipFill>
        <a:blip r:embed="rId1"/>
        <a:srcRect l="10784" t="20466" r="10345" b="20156"/>
        <a:stretch>
          <a:fillRect/>
        </a:stretch>
      </xdr:blipFill>
      <xdr:spPr bwMode="auto">
        <a:xfrm>
          <a:off x="133350" y="238125"/>
          <a:ext cx="1181100" cy="400050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156843</xdr:colOff>
      <xdr:row>1</xdr:row>
      <xdr:rowOff>32843</xdr:rowOff>
    </xdr:from>
    <xdr:to>
      <xdr:col>1</xdr:col>
      <xdr:colOff>486602</xdr:colOff>
      <xdr:row>4</xdr:row>
      <xdr:rowOff>111502</xdr:rowOff>
    </xdr:to>
    <xdr:pic>
      <xdr:nvPicPr>
        <xdr:cNvPr id="4" name="Imagem 3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52400" y="171450"/>
          <a:ext cx="942975" cy="6572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125072</xdr:colOff>
      <xdr:row>1</xdr:row>
      <xdr:rowOff>13047</xdr:rowOff>
    </xdr:from>
    <xdr:to>
      <xdr:col>2</xdr:col>
      <xdr:colOff>530695</xdr:colOff>
      <xdr:row>4</xdr:row>
      <xdr:rowOff>205688</xdr:rowOff>
    </xdr:to>
    <xdr:pic>
      <xdr:nvPicPr>
        <xdr:cNvPr id="5" name="Imagem 4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23825" y="152400"/>
          <a:ext cx="1095375" cy="7715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342900</xdr:colOff>
          <xdr:row>2</xdr:row>
          <xdr:rowOff>133350</xdr:rowOff>
        </xdr:from>
        <xdr:to>
          <xdr:col>24</xdr:col>
          <xdr:colOff>1028700</xdr:colOff>
          <xdr:row>4</xdr:row>
          <xdr:rowOff>95250</xdr:rowOff>
        </xdr:to>
        <xdr:sp macro="[0]!Macro1">
          <xdr:nvSpPr>
            <xdr:cNvPr id="26625" name="Button 8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800-000001680000}"/>
                </a:ext>
              </a:extLst>
            </xdr:cNvPr>
            <xdr:cNvSpPr>
              <a:spLocks noRot="1"/>
            </xdr:cNvSpPr>
          </xdr:nvSpPr>
          <xdr:spPr>
            <a:xfrm>
              <a:off x="12020550" y="619125"/>
              <a:ext cx="685800" cy="276225"/>
            </a:xfrm>
            <a:prstGeom prst="rect"/>
            <a:ln>
              <a:noFill/>
            </a:ln>
          </xdr:spPr>
          <xdr:txBody>
            <a:bodyPr lIns="27432" tIns="22860" rIns="27432" bIns="22860" vertOverflow="clip" wrap="square" anchor="ctr" upright="1"/>
            <a:p>
              <a:pPr algn="ctr" rtl="0"/>
              <a:r>
                <a:rPr lang="pt-BR" sz="1000" u="none" b="0" i="0" baseline="0">
                  <a:solidFill>
                    <a:srgbClr val="000000"/>
                  </a:solidFill>
                  <a:latin typeface="Arial"/>
                  <a:cs typeface="Arial"/>
                </a:rPr>
                <a:t>Limpar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107156</xdr:colOff>
      <xdr:row>1</xdr:row>
      <xdr:rowOff>0</xdr:rowOff>
    </xdr:from>
    <xdr:to>
      <xdr:col>3</xdr:col>
      <xdr:colOff>567756</xdr:colOff>
      <xdr:row>3</xdr:row>
      <xdr:rowOff>77387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2a8978e-46bb-4f2c-ae02-cd244d74dc91}"/>
            </a:ext>
          </a:extLst>
        </xdr:cNvPr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228600"/>
          <a:ext cx="1866900" cy="495300"/>
        </a:xfrm>
        <a:prstGeom prst="rect"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228600</xdr:colOff>
      <xdr:row>1</xdr:row>
      <xdr:rowOff>76200</xdr:rowOff>
    </xdr:from>
    <xdr:to>
      <xdr:col>3</xdr:col>
      <xdr:colOff>155087</xdr:colOff>
      <xdr:row>5</xdr:row>
      <xdr:rowOff>184638</xdr:rowOff>
    </xdr:to>
    <xdr:pic>
      <xdr:nvPicPr>
        <xdr:cNvPr id="4" name="Imagem 3" descr="Descrição: Descrição: Descrição: Descrição: cid:image001.png@01CF46AD.0F5048C0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14300" y="219075"/>
          <a:ext cx="1133475" cy="8382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xmlns:mc="http://schemas.openxmlformats.org/markup-compatibility/2006" xmlns:a14="http://schemas.microsoft.com/office/drawing/2010/main" val="160000" mc:Ignorable="a14" a14:legacySpreadsheetColorIndex="22"/>
            </a:gs>
            <a:gs pos="50000">
              <a:srgbClr val="FFFFFF"/>
            </a:gs>
            <a:gs pos="100000">
              <a:srgbClr xmlns:mc="http://schemas.openxmlformats.org/markup-compatibility/2006" xmlns:a14="http://schemas.microsoft.com/office/drawing/2010/main" val="160000" mc:Ignorable="a14" a14:legacySpreadsheetColorIndex="22"/>
            </a:gs>
          </a:gsLst>
          <a:lin ang="2700000" scaled="1"/>
        </a:gra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xmlns:mc="http://schemas.openxmlformats.org/markup-compatibility/2006" xmlns:a14="http://schemas.microsoft.com/office/drawing/2010/main" val="160000" mc:Ignorable="a14" a14:legacySpreadsheetColorIndex="22"/>
            </a:gs>
            <a:gs pos="50000">
              <a:srgbClr val="FFFFFF"/>
            </a:gs>
            <a:gs pos="100000">
              <a:srgbClr xmlns:mc="http://schemas.openxmlformats.org/markup-compatibility/2006" xmlns:a14="http://schemas.microsoft.com/office/drawing/2010/main" val="160000" mc:Ignorable="a14" a14:legacySpreadsheetColorIndex="22"/>
            </a:gs>
          </a:gsLst>
          <a:lin ang="2700000" scaled="1"/>
        </a:gra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Relationship Id="rId3" Type="http://schemas.openxmlformats.org/officeDocument/2006/relationships/printerSettings" Target="../printerSettings/printerSettings2.bin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9.xml" /><Relationship Id="rId4" Type="http://schemas.openxmlformats.org/officeDocument/2006/relationships/printerSettings" Target="../printerSettings/printerSettings13.bin" /><Relationship Id="rId1" Type="http://schemas.openxmlformats.org/officeDocument/2006/relationships/comments" Target="../comments10.xml" /><Relationship Id="rId5" Type="http://schemas.openxmlformats.org/officeDocument/2006/relationships/printerSettings" Target="../printerSettings/printerSettings14.bin" /><Relationship Id="rId3" Type="http://schemas.openxmlformats.org/officeDocument/2006/relationships/vmlDrawing" Target="../drawings/vmlDrawing4.vml" /></Relationships>
</file>

<file path=xl/worksheets/_rels/sheet1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5.bin" /><Relationship Id="rId1" Type="http://schemas.openxmlformats.org/officeDocument/2006/relationships/drawing" Target="../drawings/drawing10.xml" /><Relationship Id="rId3" Type="http://schemas.openxmlformats.org/officeDocument/2006/relationships/printerSettings" Target="../printerSettings/printerSettings16.bin" /></Relationships>
</file>

<file path=xl/worksheets/_rels/sheet1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7.bin" /><Relationship Id="rId1" Type="http://schemas.openxmlformats.org/officeDocument/2006/relationships/drawing" Target="../drawings/drawing11.xml" /></Relationships>
</file>

<file path=xl/worksheets/_rels/sheet13.xml.rels><?xml version="1.0" encoding="UTF-8" standalone="yes"?><Relationships xmlns="http://schemas.openxmlformats.org/package/2006/relationships"><Relationship Id="rId2" Type="http://schemas.openxmlformats.org/officeDocument/2006/relationships/ctrlProp" Target="../ctrProps/ctrProp3.xml" /><Relationship Id="rId4" Type="http://schemas.openxmlformats.org/officeDocument/2006/relationships/vmlDrawing" Target="../drawings/vmlDrawing5.vml" /><Relationship Id="rId1" Type="http://schemas.openxmlformats.org/officeDocument/2006/relationships/comments" Target="../comments13.xml" /><Relationship Id="rId5" Type="http://schemas.openxmlformats.org/officeDocument/2006/relationships/printerSettings" Target="../printerSettings/printerSettings18.bin" /><Relationship Id="rId3" Type="http://schemas.openxmlformats.org/officeDocument/2006/relationships/drawing" Target="../drawings/drawing12.xml" /></Relationships>
</file>

<file path=xl/worksheets/_rels/sheet1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9.bin" /><Relationship Id="rId1" Type="http://schemas.openxmlformats.org/officeDocument/2006/relationships/drawing" Target="../drawings/drawing13.xml" /></Relationships>
</file>

<file path=xl/worksheets/_rels/sheet1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0.bin" /><Relationship Id="rId1" Type="http://schemas.openxmlformats.org/officeDocument/2006/relationships/drawing" Target="../drawings/drawing14.xml" /><Relationship Id="rId3" Type="http://schemas.openxmlformats.org/officeDocument/2006/relationships/printerSettings" Target="../printerSettings/printerSettings21.bin" /></Relationships>
</file>

<file path=xl/worksheets/_rels/sheet1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2.bin" /><Relationship Id="rId1" Type="http://schemas.openxmlformats.org/officeDocument/2006/relationships/drawing" Target="../drawings/drawing15.xml" /><Relationship Id="rId3" Type="http://schemas.openxmlformats.org/officeDocument/2006/relationships/printerSettings" Target="../printerSettings/printerSettings23.bin" /></Relationships>
</file>

<file path=xl/worksheets/_rels/sheet1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4.bin" /><Relationship Id="rId1" Type="http://schemas.openxmlformats.org/officeDocument/2006/relationships/drawing" Target="../drawings/drawing16.xm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2.xml" /><Relationship Id="rId4" Type="http://schemas.openxmlformats.org/officeDocument/2006/relationships/printerSettings" Target="../printerSettings/printerSettings3.bin" /><Relationship Id="rId1" Type="http://schemas.openxmlformats.org/officeDocument/2006/relationships/comments" Target="../comments2.xml" /><Relationship Id="rId5" Type="http://schemas.openxmlformats.org/officeDocument/2006/relationships/printerSettings" Target="../printerSettings/printerSettings4.bin" /><Relationship Id="rId3" Type="http://schemas.openxmlformats.org/officeDocument/2006/relationships/vmlDrawing" Target="../drawings/vmlDrawing1.v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5.xml.rels><?xml version="1.0" encoding="UTF-8" standalone="yes"?><Relationships xmlns="http://schemas.openxmlformats.org/package/2006/relationships"><Relationship Id="rId5" Type="http://schemas.openxmlformats.org/officeDocument/2006/relationships/printerSettings" Target="../printerSettings/printerSettings5.bin" /><Relationship Id="rId4" Type="http://schemas.openxmlformats.org/officeDocument/2006/relationships/vmlDrawing" Target="../drawings/vmlDrawing2.vml" /><Relationship Id="rId3" Type="http://schemas.openxmlformats.org/officeDocument/2006/relationships/drawing" Target="../drawings/drawing4.xml" /><Relationship Id="rId1" Type="http://schemas.openxmlformats.org/officeDocument/2006/relationships/comments" Target="../comments5.xml" /><Relationship Id="rId6" Type="http://schemas.openxmlformats.org/officeDocument/2006/relationships/printerSettings" Target="../printerSettings/printerSettings6.bin" /><Relationship Id="rId2" Type="http://schemas.openxmlformats.org/officeDocument/2006/relationships/ctrlProp" Target="../ctrProps/ctrProp1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7.bin" /><Relationship Id="rId1" Type="http://schemas.openxmlformats.org/officeDocument/2006/relationships/drawing" Target="../drawings/drawing5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6.xml" /><Relationship Id="rId3" Type="http://schemas.openxmlformats.org/officeDocument/2006/relationships/printerSettings" Target="../printerSettings/printerSettings9.bin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0.bin" /><Relationship Id="rId1" Type="http://schemas.openxmlformats.org/officeDocument/2006/relationships/drawing" Target="../drawings/drawing7.xml" /><Relationship Id="rId3" Type="http://schemas.openxmlformats.org/officeDocument/2006/relationships/printerSettings" Target="../printerSettings/printerSettings11.bin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ctrlProp" Target="../ctrProps/ctrProp2.xml" /><Relationship Id="rId4" Type="http://schemas.openxmlformats.org/officeDocument/2006/relationships/vmlDrawing" Target="../drawings/vmlDrawing3.vml" /><Relationship Id="rId1" Type="http://schemas.openxmlformats.org/officeDocument/2006/relationships/comments" Target="../comments9.xml" /><Relationship Id="rId5" Type="http://schemas.openxmlformats.org/officeDocument/2006/relationships/printerSettings" Target="../printerSettings/printerSettings12.bin" /><Relationship Id="rId3" Type="http://schemas.openxmlformats.org/officeDocument/2006/relationships/drawing" Target="../drawings/drawing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Y43"/>
  <sheetViews>
    <sheetView showGridLines="0" view="pageBreakPreview" zoomScale="65" zoomScaleNormal="60" zoomScaleSheetLayoutView="65" workbookViewId="0" topLeftCell="A19">
      <selection pane="topLeft" activeCell="M15" sqref="M15"/>
    </sheetView>
  </sheetViews>
  <sheetFormatPr defaultColWidth="9.28428571428571" defaultRowHeight="12.75"/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18">
      <c r="A2" s="591"/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347"/>
    </row>
    <row r="3" spans="1:18" ht="23.25">
      <c r="A3" s="590" t="s">
        <v>0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347"/>
    </row>
    <row r="5" spans="23:25" ht="12.75">
      <c r="W5" s="338"/>
      <c r="X5" s="338"/>
      <c r="Y5" s="338"/>
    </row>
    <row r="6" spans="1:25" ht="23.25">
      <c r="A6" s="590" t="s">
        <v>1</v>
      </c>
      <c r="B6" s="590"/>
      <c r="C6" s="590"/>
      <c r="D6" s="590"/>
      <c r="E6" s="590"/>
      <c r="F6" s="590"/>
      <c r="G6" s="590"/>
      <c r="H6" s="590"/>
      <c r="I6" s="590"/>
      <c r="J6" s="590"/>
      <c r="K6" s="590"/>
      <c r="L6" s="590"/>
      <c r="M6" s="590"/>
      <c r="N6" s="590"/>
      <c r="O6" s="590"/>
      <c r="P6" s="590"/>
      <c r="Q6" s="590"/>
      <c r="W6" s="338"/>
      <c r="X6" s="338"/>
      <c r="Y6" s="338"/>
    </row>
    <row r="7" spans="1:18" ht="12.75">
      <c r="A7" s="438"/>
      <c r="B7" s="438"/>
      <c r="C7" s="439"/>
      <c r="D7" s="439"/>
      <c r="E7" s="438"/>
      <c r="F7" s="438"/>
      <c r="G7" s="11"/>
      <c r="H7" s="155"/>
      <c r="I7" s="11"/>
      <c r="J7" s="2"/>
      <c r="K7" s="2"/>
      <c r="L7" s="2"/>
      <c r="M7" s="2"/>
      <c r="N7" s="2"/>
      <c r="O7" s="2"/>
      <c r="P7" s="2"/>
      <c r="Q7" s="2"/>
      <c r="R7" s="2"/>
    </row>
    <row r="8" spans="1:18" ht="12.75">
      <c r="A8" s="9"/>
      <c r="B8" s="439"/>
      <c r="C8" s="439"/>
      <c r="D8" s="439"/>
      <c r="E8" s="439"/>
      <c r="F8" s="439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3.25">
      <c r="A9" s="590" t="s">
        <v>2</v>
      </c>
      <c r="B9" s="590"/>
      <c r="C9" s="590"/>
      <c r="D9" s="590"/>
      <c r="E9" s="590"/>
      <c r="F9" s="590"/>
      <c r="G9" s="590"/>
      <c r="H9" s="590"/>
      <c r="I9" s="590"/>
      <c r="J9" s="590"/>
      <c r="K9" s="590"/>
      <c r="L9" s="590"/>
      <c r="M9" s="590"/>
      <c r="N9" s="590"/>
      <c r="O9" s="590"/>
      <c r="P9" s="590"/>
      <c r="Q9" s="590"/>
      <c r="R9" s="322"/>
    </row>
    <row r="10" spans="1:18" ht="12.7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8:18" ht="12.75">
      <c r="R11" s="4"/>
    </row>
    <row r="12" spans="1:18" ht="12.75">
      <c r="A12" s="2"/>
      <c r="B12" s="2"/>
      <c r="C12" s="2"/>
      <c r="D12" s="2"/>
      <c r="E12" s="2"/>
      <c r="F12" s="323"/>
      <c r="G12" s="324"/>
      <c r="H12" s="324"/>
      <c r="I12" s="171"/>
      <c r="J12" s="171"/>
      <c r="K12" s="324"/>
      <c r="L12" s="324"/>
      <c r="M12" s="171"/>
      <c r="N12" s="171"/>
      <c r="O12" s="324"/>
      <c r="P12" s="324"/>
      <c r="Q12" s="171"/>
      <c r="R12" s="171"/>
    </row>
    <row r="13" spans="18:18" ht="12.75">
      <c r="R13" s="2"/>
    </row>
    <row r="14" spans="1:18" ht="12.75">
      <c r="A14" s="2"/>
      <c r="B14" s="2"/>
      <c r="C14" s="2"/>
      <c r="D14" s="2"/>
      <c r="E14" s="2"/>
      <c r="F14" s="171"/>
      <c r="G14" s="325"/>
      <c r="H14" s="325"/>
      <c r="I14" s="325"/>
      <c r="J14" s="2"/>
      <c r="K14" s="325"/>
      <c r="L14" s="325"/>
      <c r="M14" s="325"/>
      <c r="N14" s="2"/>
      <c r="O14" s="325"/>
      <c r="P14" s="325"/>
      <c r="Q14" s="325"/>
      <c r="R14" s="2"/>
    </row>
    <row r="15" spans="1:18" ht="12.75">
      <c r="A15" s="2"/>
      <c r="B15" s="2"/>
      <c r="C15" s="2"/>
      <c r="D15" s="2"/>
      <c r="E15" s="2"/>
      <c r="F15" s="171"/>
      <c r="G15" s="325"/>
      <c r="H15" s="325"/>
      <c r="I15" s="325"/>
      <c r="J15" s="2"/>
      <c r="K15" s="325"/>
      <c r="L15" s="325"/>
      <c r="M15" s="325"/>
      <c r="N15" s="2"/>
      <c r="O15" s="325"/>
      <c r="P15" s="325"/>
      <c r="Q15" s="325"/>
      <c r="R15" s="2"/>
    </row>
    <row r="16" spans="1:18" ht="12.75">
      <c r="A16" s="2"/>
      <c r="B16" s="2"/>
      <c r="C16" s="2"/>
      <c r="D16" s="2"/>
      <c r="E16" s="2"/>
      <c r="F16" s="171"/>
      <c r="G16" s="325"/>
      <c r="H16" s="325"/>
      <c r="I16" s="325"/>
      <c r="J16" s="2"/>
      <c r="K16" s="325"/>
      <c r="L16" s="325"/>
      <c r="M16" s="325"/>
      <c r="N16" s="2"/>
      <c r="O16" s="325"/>
      <c r="P16" s="325"/>
      <c r="Q16" s="325"/>
      <c r="R16" s="2"/>
    </row>
    <row r="17" spans="1:18" ht="12.75">
      <c r="A17" s="2"/>
      <c r="B17" s="2"/>
      <c r="C17" s="2"/>
      <c r="D17" s="2"/>
      <c r="E17" s="2"/>
      <c r="F17" s="171"/>
      <c r="G17" s="325"/>
      <c r="H17" s="325"/>
      <c r="I17" s="325"/>
      <c r="J17" s="2"/>
      <c r="K17" s="325"/>
      <c r="L17" s="325"/>
      <c r="M17" s="325"/>
      <c r="N17" s="2"/>
      <c r="O17" s="325"/>
      <c r="P17" s="325"/>
      <c r="Q17" s="325"/>
      <c r="R17" s="2"/>
    </row>
    <row r="18" spans="1:18" ht="12.75">
      <c r="A18" s="2"/>
      <c r="B18" s="2"/>
      <c r="C18" s="2"/>
      <c r="D18" s="2"/>
      <c r="E18" s="2"/>
      <c r="F18" s="171"/>
      <c r="G18" s="325"/>
      <c r="H18" s="325"/>
      <c r="I18" s="325"/>
      <c r="J18" s="2"/>
      <c r="K18" s="325"/>
      <c r="L18" s="325"/>
      <c r="M18" s="325"/>
      <c r="N18" s="2"/>
      <c r="O18" s="325"/>
      <c r="P18" s="325"/>
      <c r="Q18" s="325"/>
      <c r="R18" s="2"/>
    </row>
    <row r="19" spans="1:18" ht="12.75">
      <c r="A19" s="2"/>
      <c r="B19" s="2"/>
      <c r="C19" s="2"/>
      <c r="D19" s="2"/>
      <c r="E19" s="2"/>
      <c r="F19" s="171"/>
      <c r="G19" s="325"/>
      <c r="H19" s="325"/>
      <c r="I19" s="325"/>
      <c r="J19" s="2"/>
      <c r="K19" s="325"/>
      <c r="L19" s="325"/>
      <c r="M19" s="325"/>
      <c r="N19" s="2"/>
      <c r="O19" s="325"/>
      <c r="P19" s="325"/>
      <c r="Q19" s="325"/>
      <c r="R19" s="2"/>
    </row>
    <row r="20" spans="1:18" ht="12.75">
      <c r="A20" s="2"/>
      <c r="B20" s="2"/>
      <c r="C20" s="2"/>
      <c r="D20" s="2"/>
      <c r="E20" s="2"/>
      <c r="F20" s="171"/>
      <c r="G20" s="325"/>
      <c r="H20" s="325"/>
      <c r="I20" s="325"/>
      <c r="J20" s="2"/>
      <c r="K20" s="325"/>
      <c r="L20" s="325"/>
      <c r="M20" s="325"/>
      <c r="N20" s="2"/>
      <c r="O20" s="325"/>
      <c r="P20" s="325"/>
      <c r="Q20" s="325"/>
      <c r="R20" s="2"/>
    </row>
    <row r="21" spans="1:18" ht="12.75">
      <c r="A21" s="2"/>
      <c r="B21" s="2"/>
      <c r="C21" s="2"/>
      <c r="D21" s="2"/>
      <c r="E21" s="2"/>
      <c r="F21" s="171"/>
      <c r="G21" s="325"/>
      <c r="H21" s="325"/>
      <c r="I21" s="325"/>
      <c r="J21" s="2"/>
      <c r="K21" s="325"/>
      <c r="L21" s="325"/>
      <c r="M21" s="325"/>
      <c r="N21" s="2"/>
      <c r="O21" s="325"/>
      <c r="P21" s="325"/>
      <c r="Q21" s="325"/>
      <c r="R21" s="2"/>
    </row>
    <row r="22" spans="1:18" ht="12.75">
      <c r="A22" s="2"/>
      <c r="B22" s="2"/>
      <c r="C22" s="2"/>
      <c r="D22" s="2"/>
      <c r="E22" s="2"/>
      <c r="F22" s="171"/>
      <c r="G22" s="325"/>
      <c r="H22" s="325"/>
      <c r="I22" s="325"/>
      <c r="J22" s="2"/>
      <c r="K22" s="325"/>
      <c r="L22" s="325"/>
      <c r="M22" s="325"/>
      <c r="N22" s="2"/>
      <c r="O22" s="325"/>
      <c r="P22" s="325"/>
      <c r="Q22" s="325"/>
      <c r="R22" s="2"/>
    </row>
    <row r="23" spans="1:18" ht="12.7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2.7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2.7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2.7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2.7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2.7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2.7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12.7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12.7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12.7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12.7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12.7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12.7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2.7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12.7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2.7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12.7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2.7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12.7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2.75">
      <c r="A42" s="592" t="s">
        <v>3</v>
      </c>
      <c r="B42" s="592"/>
      <c r="C42" s="592"/>
      <c r="D42" s="592"/>
      <c r="E42" s="592"/>
      <c r="F42" s="592"/>
      <c r="G42" s="592"/>
      <c r="H42" s="592"/>
      <c r="I42" s="592"/>
      <c r="J42" s="592"/>
      <c r="K42" s="592"/>
      <c r="L42" s="592"/>
      <c r="M42" s="592"/>
      <c r="N42" s="592"/>
      <c r="O42" s="592"/>
      <c r="P42" s="592"/>
      <c r="Q42" s="592"/>
      <c r="R42" s="2"/>
    </row>
    <row r="43" spans="1:17" ht="12.75">
      <c r="A43" s="592"/>
      <c r="B43" s="592"/>
      <c r="C43" s="592"/>
      <c r="D43" s="592"/>
      <c r="E43" s="592"/>
      <c r="F43" s="592"/>
      <c r="G43" s="592"/>
      <c r="H43" s="592"/>
      <c r="I43" s="592"/>
      <c r="J43" s="592"/>
      <c r="K43" s="592"/>
      <c r="L43" s="592"/>
      <c r="M43" s="592"/>
      <c r="N43" s="592"/>
      <c r="O43" s="592"/>
      <c r="P43" s="592"/>
      <c r="Q43" s="592"/>
    </row>
  </sheetData>
  <sheetProtection sheet="1" objects="1" scenarios="1" selectLockedCells="1"/>
  <customSheetViews>
    <customSheetView guid="{adcfddaa-af71-42ce-8fd7-7abb67cb940b}" printArea="1" scale="60" showGridLines="0" showPageBreaks="1" topLeftCell="A1" view="pageBreakPreview">
      <selection pane="topLeft" activeCell="W9" sqref="W9"/>
      <pageMargins left="0" right="0" top="0" bottom="0" header="0" footer="0"/>
      <printOptions horizontalCentered="1"/>
      <pageSetup horizontalDpi="300" verticalDpi="300" orientation="landscape" paperSize="9" scale="90" r:id="rId3"/>
      <headerFooter alignWithMargins="0"/>
    </customSheetView>
  </customSheetViews>
  <mergeCells count="5">
    <mergeCell ref="A3:Q3"/>
    <mergeCell ref="A2:Q2"/>
    <mergeCell ref="A9:Q9"/>
    <mergeCell ref="A42:Q43"/>
    <mergeCell ref="A6:Q6"/>
  </mergeCells>
  <printOptions horizontalCentered="1"/>
  <pageMargins left="0" right="0" top="0.590551181102362" bottom="0.393700787401575" header="0.511811023622047" footer="0.511811023622047"/>
  <pageSetup horizontalDpi="300" verticalDpi="300" orientation="landscape" paperSize="9" scale="90" r:id="rId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3"/>
  <dimension ref="A1:AJ76"/>
  <sheetViews>
    <sheetView showGridLines="0" view="pageBreakPreview" zoomScaleNormal="75" zoomScaleSheetLayoutView="100" workbookViewId="0" topLeftCell="A1">
      <selection pane="topLeft" activeCell="D16" sqref="D16"/>
    </sheetView>
  </sheetViews>
  <sheetFormatPr defaultColWidth="9.28428571428571" defaultRowHeight="12.75"/>
  <cols>
    <col min="1" max="1" width="1.71428571428571" customWidth="1"/>
    <col min="2" max="2" width="4.28571428571429" customWidth="1"/>
    <col min="3" max="3" width="10.4285714285714" customWidth="1"/>
    <col min="4" max="4" width="9.71428571428571" customWidth="1"/>
    <col min="5" max="5" width="10.7142857142857" customWidth="1"/>
    <col min="6" max="6" width="10.7142857142857" hidden="1" customWidth="1"/>
    <col min="7" max="7" width="9.71428571428571" customWidth="1"/>
    <col min="8" max="8" width="14.7142857142857" customWidth="1"/>
    <col min="9" max="10" width="10.7142857142857" hidden="1" customWidth="1"/>
    <col min="11" max="11" width="13.7142857142857" customWidth="1"/>
    <col min="12" max="12" width="11.4285714285714" customWidth="1"/>
    <col min="13" max="13" width="12.2857142857143" customWidth="1"/>
    <col min="14" max="14" width="11.7142857142857" hidden="1" customWidth="1"/>
    <col min="15" max="15" width="12.7142857142857" hidden="1" customWidth="1"/>
    <col min="16" max="16" width="14" customWidth="1"/>
    <col min="17" max="17" width="11.2857142857143" customWidth="1"/>
    <col min="18" max="18" width="10.7142857142857" customWidth="1"/>
    <col min="19" max="19" width="9.71428571428571" customWidth="1"/>
    <col min="20" max="20" width="13.5714285714286" hidden="1" customWidth="1"/>
    <col min="21" max="21" width="13.4285714285714" hidden="1" customWidth="1"/>
    <col min="22" max="22" width="12" hidden="1" customWidth="1"/>
    <col min="23" max="23" width="11.4285714285714" customWidth="1"/>
    <col min="24" max="24" width="8.71428571428571" hidden="1" customWidth="1"/>
    <col min="25" max="26" width="8.42857142857143" hidden="1" customWidth="1"/>
    <col min="27" max="27" width="12.2857142857143" customWidth="1"/>
    <col min="28" max="30" width="9.28571428571429" hidden="1" customWidth="1"/>
    <col min="31" max="31" width="13" hidden="1" customWidth="1"/>
    <col min="32" max="37" width="9.28571428571429" hidden="1" customWidth="1"/>
    <col min="38" max="86" width="9.28571428571429" customWidth="1"/>
  </cols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7" ht="12.75">
      <c r="A2" s="726"/>
      <c r="B2" s="726"/>
      <c r="C2" s="726"/>
      <c r="D2" s="726"/>
      <c r="E2" s="726"/>
      <c r="F2" s="726"/>
      <c r="G2" s="726"/>
      <c r="H2" s="726"/>
      <c r="I2" s="726"/>
      <c r="J2" s="726"/>
      <c r="K2" s="726"/>
      <c r="L2" s="726"/>
      <c r="M2" s="726"/>
      <c r="N2" s="726"/>
      <c r="O2" s="726"/>
      <c r="P2" s="726"/>
      <c r="Q2" s="726"/>
      <c r="R2" s="726"/>
      <c r="S2" s="726"/>
      <c r="T2" s="726"/>
      <c r="U2" s="726"/>
      <c r="V2" s="726"/>
      <c r="W2" s="726"/>
      <c r="X2" s="726"/>
      <c r="Y2" s="726"/>
      <c r="Z2" s="726"/>
      <c r="AA2" s="726"/>
    </row>
    <row r="3" spans="1:27" ht="20.25">
      <c r="A3" s="632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  <c r="U3" s="632"/>
      <c r="V3" s="632"/>
      <c r="W3" s="632"/>
      <c r="X3" s="632"/>
      <c r="Y3" s="632"/>
      <c r="Z3" s="632"/>
      <c r="AA3" s="632"/>
    </row>
    <row r="5" ht="12" customHeight="1"/>
    <row r="6" spans="1:36" ht="20.25">
      <c r="A6" s="632" t="s">
        <v>207</v>
      </c>
      <c r="B6" s="632"/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2"/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2"/>
      <c r="AA6" s="632"/>
      <c r="AJ6" s="2"/>
    </row>
    <row r="7" spans="1:36" ht="12" customHeight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AJ7" s="2"/>
    </row>
    <row r="8" spans="1:27" ht="16.5" customHeight="1">
      <c r="A8" s="2"/>
      <c r="B8" s="2"/>
      <c r="C8" s="327" t="s">
        <v>6</v>
      </c>
      <c r="D8" s="758"/>
      <c r="E8" s="759"/>
      <c r="F8" s="759"/>
      <c r="G8" s="760"/>
      <c r="H8" s="179" t="s">
        <v>7</v>
      </c>
      <c r="I8" s="757"/>
      <c r="J8" s="757"/>
      <c r="K8" s="757"/>
      <c r="L8" s="757"/>
      <c r="M8" s="757"/>
      <c r="N8" s="757"/>
      <c r="O8" s="181" t="s">
        <v>8</v>
      </c>
      <c r="P8" s="181" t="s">
        <v>8</v>
      </c>
      <c r="Q8" s="757"/>
      <c r="R8" s="757"/>
      <c r="S8" s="757"/>
      <c r="T8" s="757"/>
      <c r="U8" s="757"/>
      <c r="V8" s="757"/>
      <c r="W8" s="757"/>
      <c r="X8" s="301"/>
      <c r="Y8" s="301"/>
      <c r="Z8" s="301"/>
      <c r="AA8" s="302"/>
    </row>
    <row r="9" spans="1:27" ht="15" customHeight="1" thickBot="1">
      <c r="A9" s="2"/>
      <c r="B9" s="2"/>
      <c r="C9" s="328" t="s">
        <v>9</v>
      </c>
      <c r="D9" s="753"/>
      <c r="E9" s="754"/>
      <c r="F9" s="754"/>
      <c r="G9" s="755"/>
      <c r="H9" s="180" t="s">
        <v>102</v>
      </c>
      <c r="I9" s="453"/>
      <c r="J9" s="756"/>
      <c r="K9" s="756"/>
      <c r="L9" s="756"/>
      <c r="M9" s="454"/>
      <c r="N9" s="454"/>
      <c r="O9" s="180" t="s">
        <v>208</v>
      </c>
      <c r="P9" s="180" t="s">
        <v>11</v>
      </c>
      <c r="Q9" s="756"/>
      <c r="R9" s="756"/>
      <c r="S9" s="756"/>
      <c r="T9" s="756"/>
      <c r="U9" s="756"/>
      <c r="V9" s="756"/>
      <c r="W9" s="756"/>
      <c r="X9" s="756"/>
      <c r="Y9" s="756"/>
      <c r="Z9" s="756"/>
      <c r="AA9" s="761"/>
    </row>
    <row r="10" s="2" customFormat="1" ht="4.5" customHeight="1" thickBot="1"/>
    <row r="11" spans="1:27" ht="13.5" customHeight="1" thickBot="1">
      <c r="A11" s="2"/>
      <c r="B11" s="2"/>
      <c r="C11" s="786" t="s">
        <v>209</v>
      </c>
      <c r="D11" s="787"/>
      <c r="E11" s="783" t="s">
        <v>210</v>
      </c>
      <c r="F11" s="784"/>
      <c r="G11" s="785"/>
      <c r="H11" s="788" t="s">
        <v>32</v>
      </c>
      <c r="I11" s="789"/>
      <c r="J11" s="789"/>
      <c r="K11" s="790"/>
      <c r="L11" s="783" t="s">
        <v>33</v>
      </c>
      <c r="M11" s="785"/>
      <c r="N11" s="2"/>
      <c r="O11" s="2"/>
      <c r="P11" s="783" t="s">
        <v>17</v>
      </c>
      <c r="Q11" s="785"/>
      <c r="R11" s="783" t="s">
        <v>18</v>
      </c>
      <c r="S11" s="785"/>
      <c r="W11" s="2"/>
      <c r="X11" s="2"/>
      <c r="Y11" s="2"/>
      <c r="Z11" s="2"/>
      <c r="AA11" s="2"/>
    </row>
    <row r="12" spans="1:27" ht="13.5" customHeight="1" thickBot="1">
      <c r="A12" s="2"/>
      <c r="B12" s="2"/>
      <c r="C12" s="2"/>
      <c r="D12" s="2"/>
      <c r="E12" s="2"/>
      <c r="G12" s="93"/>
      <c r="H12" s="157" t="s">
        <v>36</v>
      </c>
      <c r="K12" s="57"/>
      <c r="L12" s="2"/>
      <c r="M12" s="303" t="str">
        <f>IF(H20="","",H20*1000)</f>
        <v/>
      </c>
      <c r="N12" s="2"/>
      <c r="O12" s="2"/>
      <c r="P12" s="155" t="s">
        <v>19</v>
      </c>
      <c r="Q12" s="232" t="str">
        <f>IF(W20="","",MAX(W20:W116))</f>
        <v/>
      </c>
      <c r="R12" s="155" t="s">
        <v>19</v>
      </c>
      <c r="S12" s="232" t="str">
        <f>IF(R20="","",MAX(R20:R116))</f>
        <v/>
      </c>
      <c r="W12" s="2"/>
      <c r="X12" s="2"/>
      <c r="Y12" s="2"/>
      <c r="Z12" s="2"/>
      <c r="AA12" s="2"/>
    </row>
    <row r="13" spans="1:27" ht="13.5" customHeight="1" thickBot="1">
      <c r="A13" s="2"/>
      <c r="B13" s="2"/>
      <c r="C13" s="783" t="s">
        <v>211</v>
      </c>
      <c r="D13" s="785"/>
      <c r="E13" s="762" t="s">
        <v>21</v>
      </c>
      <c r="F13" s="763"/>
      <c r="G13" s="763"/>
      <c r="H13" s="783" t="s">
        <v>15</v>
      </c>
      <c r="I13" s="784"/>
      <c r="J13" s="784"/>
      <c r="K13" s="785"/>
      <c r="L13" s="783" t="s">
        <v>16</v>
      </c>
      <c r="M13" s="785"/>
      <c r="N13" s="2"/>
      <c r="O13" s="2"/>
      <c r="P13" s="155" t="s">
        <v>25</v>
      </c>
      <c r="Q13" s="235" t="str">
        <f>IF(Q12="","",VLOOKUP(Q12,W20:AC76,7,FALSE))</f>
        <v/>
      </c>
      <c r="R13" s="155" t="s">
        <v>25</v>
      </c>
      <c r="S13" s="235" t="str">
        <f>IF(S12="","",VLOOKUP(S12,R20:AC76,12,FALSE))</f>
        <v/>
      </c>
      <c r="W13" s="2"/>
      <c r="X13" s="2"/>
      <c r="Y13" s="2"/>
      <c r="Z13" s="2"/>
      <c r="AA13" s="2"/>
    </row>
    <row r="14" spans="1:27" ht="13.5" customHeight="1" thickBot="1">
      <c r="A14" s="2"/>
      <c r="B14" s="2"/>
      <c r="C14" s="2"/>
      <c r="D14" s="57"/>
      <c r="E14" s="2"/>
      <c r="G14" s="57"/>
      <c r="H14" s="2"/>
      <c r="I14" s="2"/>
      <c r="J14" s="2"/>
      <c r="K14" s="304" t="str">
        <f>IF(G16="","",(0.7*(G16)^2)+(0.3*G16))</f>
        <v/>
      </c>
      <c r="L14" s="2"/>
      <c r="M14" s="305" t="str">
        <f>IF(OR(K16="",M12=""),"",K16/($G$16*M12*G14*8760))</f>
        <v/>
      </c>
      <c r="N14" s="2"/>
      <c r="O14" s="2"/>
      <c r="P14" s="155" t="s">
        <v>29</v>
      </c>
      <c r="Q14" s="235" t="str">
        <f>IF(Q13="","",VLOOKUP(Q13,AC20:AD76,2,FALSE))</f>
        <v/>
      </c>
      <c r="R14" s="155" t="s">
        <v>29</v>
      </c>
      <c r="S14" s="235" t="str">
        <f>IF(S13="","",VLOOKUP(S13,AC20:AD5276,2,FALSE))</f>
        <v/>
      </c>
      <c r="W14" s="2"/>
      <c r="X14" s="2"/>
      <c r="Y14" s="2"/>
      <c r="Z14" s="2"/>
      <c r="AA14" s="2"/>
    </row>
    <row r="15" spans="1:27" ht="13.5" customHeight="1" thickBot="1">
      <c r="A15" s="2"/>
      <c r="B15" s="2"/>
      <c r="C15" s="762" t="s">
        <v>212</v>
      </c>
      <c r="D15" s="762"/>
      <c r="E15" s="762" t="s">
        <v>31</v>
      </c>
      <c r="F15" s="763"/>
      <c r="G15" s="763"/>
      <c r="H15" s="762" t="s">
        <v>23</v>
      </c>
      <c r="I15" s="763"/>
      <c r="J15" s="763"/>
      <c r="K15" s="763"/>
      <c r="L15" s="762" t="s">
        <v>35</v>
      </c>
      <c r="M15" s="763"/>
      <c r="N15" s="2"/>
      <c r="O15" s="2"/>
      <c r="P15" s="2"/>
      <c r="Q15" s="2"/>
      <c r="R15" s="2"/>
      <c r="S15" s="2"/>
      <c r="W15" s="2"/>
      <c r="X15" s="2"/>
      <c r="Y15" s="2"/>
      <c r="Z15" s="2"/>
      <c r="AA15" s="2"/>
    </row>
    <row r="16" spans="1:27" ht="13.5" thickBot="1">
      <c r="A16" s="2"/>
      <c r="B16" s="2"/>
      <c r="C16" s="2"/>
      <c r="D16" s="58"/>
      <c r="E16" s="2"/>
      <c r="G16" s="57"/>
      <c r="H16" s="2"/>
      <c r="I16" s="2"/>
      <c r="J16" s="2"/>
      <c r="K16" s="236">
        <f>SUM(AA20:AA52)</f>
        <v>0</v>
      </c>
      <c r="L16" s="155" t="s">
        <v>213</v>
      </c>
      <c r="M16" s="236" t="str">
        <f>IF(AND(P20="",P32=""),"",MAX(AE20:AE35))</f>
        <v/>
      </c>
      <c r="N16" s="306"/>
      <c r="O16" s="306"/>
      <c r="P16" s="2"/>
      <c r="Q16" s="2"/>
      <c r="R16" s="2"/>
      <c r="S16" s="2"/>
      <c r="W16" s="2"/>
      <c r="X16" s="2"/>
      <c r="Y16" s="2"/>
      <c r="Z16" s="2"/>
      <c r="AA16" s="2"/>
    </row>
    <row r="17" spans="1:27" ht="9" customHeight="1" thickBot="1">
      <c r="A17" s="2"/>
      <c r="B17" s="2"/>
      <c r="C17" s="2"/>
      <c r="D17" s="2"/>
      <c r="E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W17" s="2"/>
      <c r="X17" s="2"/>
      <c r="Y17" s="2"/>
      <c r="Z17" s="2"/>
      <c r="AA17" s="2"/>
    </row>
    <row r="18" spans="1:27" ht="20.25" customHeight="1" thickBot="1">
      <c r="A18" s="2"/>
      <c r="B18" s="2"/>
      <c r="C18" s="775" t="s">
        <v>39</v>
      </c>
      <c r="D18" s="776"/>
      <c r="E18" s="777" t="s">
        <v>214</v>
      </c>
      <c r="F18" s="159"/>
      <c r="G18" s="764" t="s">
        <v>215</v>
      </c>
      <c r="H18" s="773" t="s">
        <v>216</v>
      </c>
      <c r="I18" s="766" t="s">
        <v>217</v>
      </c>
      <c r="J18" s="766" t="s">
        <v>218</v>
      </c>
      <c r="K18" s="777" t="s">
        <v>219</v>
      </c>
      <c r="L18" s="764" t="s">
        <v>43</v>
      </c>
      <c r="M18" s="764" t="s">
        <v>44</v>
      </c>
      <c r="N18" s="240"/>
      <c r="O18" s="307"/>
      <c r="P18" s="764" t="s">
        <v>220</v>
      </c>
      <c r="Q18" s="764" t="s">
        <v>221</v>
      </c>
      <c r="R18" s="764" t="s">
        <v>48</v>
      </c>
      <c r="S18" s="764" t="s">
        <v>222</v>
      </c>
      <c r="T18" s="781" t="s">
        <v>223</v>
      </c>
      <c r="U18" s="781" t="s">
        <v>224</v>
      </c>
      <c r="V18" s="781" t="s">
        <v>50</v>
      </c>
      <c r="W18" s="777" t="s">
        <v>51</v>
      </c>
      <c r="X18" s="779" t="s">
        <v>225</v>
      </c>
      <c r="Y18" s="779" t="s">
        <v>226</v>
      </c>
      <c r="Z18" s="779" t="s">
        <v>52</v>
      </c>
      <c r="AA18" s="777" t="s">
        <v>53</v>
      </c>
    </row>
    <row r="19" spans="1:35" ht="17.25" customHeight="1" thickBot="1">
      <c r="A19" s="2"/>
      <c r="B19" s="2"/>
      <c r="C19" s="308" t="s">
        <v>54</v>
      </c>
      <c r="D19" s="308" t="s">
        <v>55</v>
      </c>
      <c r="E19" s="778"/>
      <c r="F19" s="161"/>
      <c r="G19" s="765"/>
      <c r="H19" s="774"/>
      <c r="I19" s="767"/>
      <c r="J19" s="767"/>
      <c r="K19" s="778"/>
      <c r="L19" s="765"/>
      <c r="M19" s="765"/>
      <c r="N19" s="242"/>
      <c r="O19" s="242"/>
      <c r="P19" s="765"/>
      <c r="Q19" s="765"/>
      <c r="R19" s="765"/>
      <c r="S19" s="765"/>
      <c r="T19" s="782"/>
      <c r="U19" s="782"/>
      <c r="V19" s="782"/>
      <c r="W19" s="778"/>
      <c r="X19" s="780"/>
      <c r="Y19" s="780"/>
      <c r="Z19" s="780"/>
      <c r="AA19" s="778"/>
      <c r="AB19" s="309"/>
      <c r="AC19" s="309" t="s">
        <v>25</v>
      </c>
      <c r="AD19" s="309" t="s">
        <v>29</v>
      </c>
      <c r="AE19" s="309" t="s">
        <v>56</v>
      </c>
      <c r="AF19" s="244" t="s">
        <v>58</v>
      </c>
      <c r="AG19" s="245" t="s">
        <v>59</v>
      </c>
      <c r="AH19" s="246" t="s">
        <v>60</v>
      </c>
      <c r="AI19" s="245" t="s">
        <v>59</v>
      </c>
    </row>
    <row r="20" spans="1:35" ht="12" customHeight="1" thickTop="1" thickBot="1">
      <c r="A20" s="2"/>
      <c r="B20" s="770" t="s">
        <v>61</v>
      </c>
      <c r="C20" s="59"/>
      <c r="D20" s="60"/>
      <c r="E20" s="61"/>
      <c r="F20" s="35" t="str">
        <f>IF(E20="","",E20*($G$12/100+1)^($K$12-1))</f>
        <v/>
      </c>
      <c r="G20" s="52"/>
      <c r="H20" s="310" t="str">
        <f>IF(AND(E20="",G20=""),"",SUM(F20:$G$35))</f>
        <v/>
      </c>
      <c r="I20" s="279" t="str">
        <f>IF(OR(L20="",M20=""),"",IF(L20="3",VLOOKUP(N20,'K% (Rede Convencional)'!$B$18:$H$29,5),(IF(L20="2",VLOOKUP(O20,'K% (Rede Convencional)'!$B$18:$H$29,6),(IF(L20="1",VLOOKUP(O20,'K% (Rede Convencional)'!$B$18:$H$29,7)))))))</f>
        <v/>
      </c>
      <c r="J20" s="279" t="str">
        <f>IF(OR(L20="",M20=""),"",IF(L20="3",VLOOKUP(N20,'K% (Rede Convencional)'!$B$18:$E$29,2),(IF(L20="2",VLOOKUP(O20,'K% (Rede Convencional)'!$B$18:$E$29,3),(IF(L20="1",VLOOKUP(O20,'K% (Rede Convencional)'!$B$18:$E$29,4)))))))</f>
        <v/>
      </c>
      <c r="K20" s="279" t="str">
        <f>IF(OR(I20="",J20=""),"",(IF(OR($D$16="CAA",$D$16="caa"),J20,(IF(OR($D$16="CA",$D$16="ca"),I20)))))</f>
        <v/>
      </c>
      <c r="L20" s="50"/>
      <c r="M20" s="50"/>
      <c r="N20" s="81"/>
      <c r="O20" s="82"/>
      <c r="P20" s="52"/>
      <c r="Q20" s="280" t="str">
        <f>IF(OR(H20="",K20="",P20=""),"",K20*H20*P20)</f>
        <v/>
      </c>
      <c r="R20" s="280" t="str">
        <f>IF(Q20="","",SUM($Q$20:Q20))</f>
        <v/>
      </c>
      <c r="S20" s="280" t="str">
        <f>IF(H20="","",IF(L20="3",H20*1000/($D$14*SQRT(3)),IF(L20="2",H20*1000*SQRT(3)/($D$14*2),IF(L20="1",H20*1000*SQRT(3)/$D$14))))</f>
        <v/>
      </c>
      <c r="T20" s="281" t="str">
        <f>IF(OR(N20="a",O20="a"),VLOOKUP("a",'Características dos Cabos'!$D$25:$L$29,9),IF(OR(N20="b",N20="c",O20="b",O20="c"),VLOOKUP("b",'Características dos Cabos'!$D$25:$L$29,9),IF(OR(N20="d",N20="e",O20="d",O20="e"),VLOOKUP("c",'Características dos Cabos'!$D$25:$L$29,9),IF(OR(N20="f",N20="g",N20="h",O20="f",O20="g",O20="h"),VLOOKUP("d",'Características dos Cabos'!$D$25:$L$29,9),IF(OR(N20="i",N20="j",N20="l",N20="m",O20="i",O21="j",O21="l",O21="m"),VLOOKUP("e",'Características dos Cabos'!$D$25:$L$29,9),"")))))</f>
        <v/>
      </c>
      <c r="U20" s="281" t="str">
        <f>IF(OR(N20="a",O20="a"),VLOOKUP("a",'Características dos Cabos'!$D$14:$K$18,8),IF(OR(N20="b",N20="c",O20="b",O20="c"),VLOOKUP("b",'Características dos Cabos'!$D$14:$K$18,8),IF(OR(N20="d",N20="e",O20="d",O20="e"),VLOOKUP("c",'Características dos Cabos'!$D$14:$K$18,8),IF(OR(N20="f",N20="g",N20="h",O20="f",O20="g",O20="h"),VLOOKUP("d",'Características dos Cabos'!$D$14:$K$18,8),IF(OR(N20="i",N20="j",N20="l",N20="m",O20="i",O21="j",O21="l",O21="m"),VLOOKUP("e",'Características dos Cabos'!$D$14:$K$18,8),"")))))</f>
        <v/>
      </c>
      <c r="V20" s="281" t="str">
        <f>IF(AND(T20="",U20=""),"",(IF(OR($D$16="CAA",$D$16="caa"),U20,(IF(OR($D$16="CA",$D$16="ca"),T20)))))</f>
        <v/>
      </c>
      <c r="W20" s="280" t="str">
        <f>IF(OR(N20="",S20="",T20=""),"",S20*100/T20)</f>
        <v/>
      </c>
      <c r="X20" s="311" t="str">
        <f>IF(OR(N20="a",O20="a"),VLOOKUP("a",'Características dos Cabos'!$D$25:$L$29,3),IF(OR(N20="b",N20="c",O20="b",O20="c"),VLOOKUP("b",'Características dos Cabos'!$D$25:$L$29,3),IF(OR(N20="d",N20="e",O20="d",O20="e"),VLOOKUP("c",'Características dos Cabos'!$D$25:$L$29,3),IF(OR(N20="f",N20="g",N20="h",O20="f",O20="g",O20="h"),VLOOKUP("d",'Características dos Cabos'!$D$25:$L$29,3),IF(OR(N20="i",N20="j",N20="l",N20="m",O20="i",O20="j",O20="l",O20="m"),VLOOKUP("e",'Características dos Cabos'!$D$25:$L$29,3),"")))))</f>
        <v/>
      </c>
      <c r="Y20" s="311" t="str">
        <f>IF(OR(N20="a",O20="a"),VLOOKUP("a",'Características dos Cabos'!$D$14:$K$18,4),IF(OR(N20="b",N20="c",O20="b",O20="c"),VLOOKUP("b",'Características dos Cabos'!$D$14:$K$18,4),IF(OR(N20="d",N20="e",O20="d",O20="e"),VLOOKUP("c",'Características dos Cabos'!$D$14:$K$18,4),IF(OR(N20="f",N20="g",N20="h",O20="f",O20="g",O20="h"),VLOOKUP("d",'Características dos Cabos'!$D$14:$K$18,4),IF(OR(N20="i",N20="j",N20="l",N20="m",O20="i",O20="j",O20="l",O20="m"),VLOOKUP("e",'Características dos Cabos'!$D$14:$K$18,4),"")))))</f>
        <v/>
      </c>
      <c r="Z20" s="281" t="str">
        <f>IF(AND(X20="",Y20=""),"",(IF(OR($D$16="CAA",$D$16="caa"),Y20,(IF(OR($D$16="CA",$D$16="ca"),X20)))))</f>
        <v/>
      </c>
      <c r="AA20" s="282" t="str">
        <f t="shared" si="0" ref="AA20:AA35">IF(OR(P20="",$G$16="",H20="",N20=""),"",IF(L20="3",3*$K$14*Z20*P20*((S20)^2)*8.76,IF(L20="2",2*$K$14*Z20*P20*((S20)^2)*8.76,IF(L20="1",$K$14*Z20*P20*((S20)^2)*8.76))))</f>
        <v/>
      </c>
      <c r="AB20" s="309"/>
      <c r="AC20" s="312">
        <f t="shared" si="1" ref="AC20:AC35">D20</f>
        <v>0</v>
      </c>
      <c r="AD20" s="312">
        <f t="shared" si="2" ref="AD20:AD35">M20</f>
        <v>0</v>
      </c>
      <c r="AE20" s="309">
        <f>SUM($P20:P$21)</f>
        <v>0</v>
      </c>
      <c r="AF20" s="260"/>
      <c r="AG20" s="261"/>
      <c r="AH20" s="262" t="s">
        <v>69</v>
      </c>
      <c r="AI20" s="261" t="s">
        <v>70</v>
      </c>
    </row>
    <row r="21" spans="1:35" ht="12" customHeight="1" thickTop="1" thickBot="1">
      <c r="A21" s="2"/>
      <c r="B21" s="771"/>
      <c r="C21" s="62"/>
      <c r="D21" s="63"/>
      <c r="E21" s="64"/>
      <c r="F21" s="35" t="str">
        <f t="shared" si="3" ref="F21:F76">IF(E21="","",E21*($G$12/100+1)^($K$12-1))</f>
        <v/>
      </c>
      <c r="G21" s="53"/>
      <c r="H21" s="313" t="str">
        <f>IF(AND(E21="",G21=""),"",SUM(F21:$G$35))</f>
        <v/>
      </c>
      <c r="I21" s="266" t="str">
        <f>IF(OR(L21="",M21=""),"",IF(L21="3",VLOOKUP(N21,'K% (Rede Convencional)'!$B$18:$H$29,5),(IF(L21="2",VLOOKUP(O21,'K% (Rede Convencional)'!$B$18:$H$29,6),(IF(L21="1",VLOOKUP(O21,'K% (Rede Convencional)'!$B$18:$H$29,7)))))))</f>
        <v/>
      </c>
      <c r="J21" s="266" t="str">
        <f>IF(OR(L21="",M21=""),"",IF(L21="3",VLOOKUP(N21,'K% (Rede Convencional)'!$B$18:$E$29,2),(IF(L21="2",VLOOKUP(O21,'K% (Rede Convencional)'!$B$18:$E$29,3),(IF(L21="1",VLOOKUP(O21,'K% (Rede Convencional)'!$B$18:$E$29,4)))))))</f>
        <v/>
      </c>
      <c r="K21" s="266" t="str">
        <f t="shared" si="4" ref="K21:K52">IF(OR(I21="",J21=""),"",(IF(OR($D$16="CAA",$D$16="caa"),J21,(IF(OR($D$16="CA",$D$16="ca"),I21)))))</f>
        <v/>
      </c>
      <c r="L21" s="49"/>
      <c r="M21" s="49"/>
      <c r="N21" s="81"/>
      <c r="O21" s="82"/>
      <c r="P21" s="53"/>
      <c r="Q21" s="268" t="str">
        <f t="shared" si="5" ref="Q21:Q52">IF(OR(H21="",K21="",P21=""),"",K21*H21*P21)</f>
        <v/>
      </c>
      <c r="R21" s="268" t="str">
        <f>IF(Q21="","",SUM($Q$20:Q21))</f>
        <v/>
      </c>
      <c r="S21" s="268" t="str">
        <f>IF(H21="","",IF(L21="3",H21*1000/($D$14*SQRT(3)),IF(L21="2",H21*1000*SQRT(3)/($D$14*2),IF(L21="1",H21*1000*SQRT(3)/$D$14))))</f>
        <v/>
      </c>
      <c r="T21" s="269" t="str">
        <f>IF(OR(N21="a",O21="a"),VLOOKUP("a",'Características dos Cabos'!$D$25:$L$29,9),IF(OR(N21="b",N21="c",O21="b",O21="c"),VLOOKUP("b",'Características dos Cabos'!$D$25:$L$29,9),IF(OR(N21="d",N21="e",O21="d",O21="e"),VLOOKUP("c",'Características dos Cabos'!$D$25:$L$29,9),IF(OR(N21="f",N21="g",N21="h",O21="f",O21="g",O21="h"),VLOOKUP("d",'Características dos Cabos'!$D$25:$L$29,9),IF(OR(N21="i",N21="j",N21="l",N21="m",O21="i",O22="j",O22="l",O22="m"),VLOOKUP("e",'Características dos Cabos'!$D$25:$L$29,9),"")))))</f>
        <v/>
      </c>
      <c r="U21" s="269" t="str">
        <f>IF(OR(N21="a",O21="a"),VLOOKUP("a",'Características dos Cabos'!$D$14:$K$18,8),IF(OR(N21="b",N21="c",O21="b",O21="c"),VLOOKUP("b",'Características dos Cabos'!$D$14:$K$18,8),IF(OR(N21="d",N21="e",O21="d",O21="e"),VLOOKUP("c",'Características dos Cabos'!$D$14:$K$18,8),IF(OR(N21="f",N21="g",N21="h",O21="f",O21="g",O21="h"),VLOOKUP("d",'Características dos Cabos'!$D$14:$K$18,8),IF(OR(N21="i",N21="j",N21="l",N21="m",O21="i",O22="j",O22="l",O22="m"),VLOOKUP("e",'Características dos Cabos'!$D$14:$K$18,8),"")))))</f>
        <v/>
      </c>
      <c r="V21" s="269" t="str">
        <f t="shared" si="6" ref="V21:V52">IF(AND(T21="",U21=""),"",(IF(OR($D$16="CAA",$D$16="caa"),U21,(IF(OR($D$16="CA",$D$16="ca"),T21)))))</f>
        <v/>
      </c>
      <c r="W21" s="268" t="str">
        <f t="shared" si="7" ref="W21:W52">IF(OR(N21="",S21="",T21=""),"",S21*100/T21)</f>
        <v/>
      </c>
      <c r="X21" s="314" t="str">
        <f>IF(OR(N21="a",O21="a"),VLOOKUP("a",'Características dos Cabos'!$D$25:$L$29,3),IF(OR(N21="b",N21="c",O21="b",O21="c"),VLOOKUP("b",'Características dos Cabos'!$D$25:$L$29,3),IF(OR(N21="d",N21="e",O21="d",O21="e"),VLOOKUP("c",'Características dos Cabos'!$D$25:$L$29,3),IF(OR(N21="f",N21="g",N21="h",O21="f",O21="g",O21="h"),VLOOKUP("d",'Características dos Cabos'!$D$25:$L$29,3),IF(OR(N21="i",N21="j",N21="l",N21="m",O21="i",O21="j",O21="l",O21="m"),VLOOKUP("e",'Características dos Cabos'!$D$25:$L$29,3),"")))))</f>
        <v/>
      </c>
      <c r="Y21" s="314" t="str">
        <f>IF(OR(N21="a",O21="a"),VLOOKUP("a",'Características dos Cabos'!$D$14:$K$18,4),IF(OR(N21="b",N21="c",O21="b",O21="c"),VLOOKUP("b",'Características dos Cabos'!$D$14:$K$18,4),IF(OR(N21="d",N21="e",O21="d",O21="e"),VLOOKUP("c",'Características dos Cabos'!$D$14:$K$18,4),IF(OR(N21="f",N21="g",N21="h",O21="f",O21="g",O21="h"),VLOOKUP("d",'Características dos Cabos'!$D$14:$K$18,4),IF(OR(N21="i",N21="j",N21="l",N21="m",O21="i",O21="j",O21="l",O21="m"),VLOOKUP("e",'Características dos Cabos'!$D$14:$K$18,4),"")))))</f>
        <v/>
      </c>
      <c r="Z21" s="269" t="str">
        <f t="shared" si="8" ref="Z21:Z52">IF(AND(X21="",Y21=""),"",(IF(OR($D$16="CAA",$D$16="caa"),Y21,(IF(OR($D$16="CA",$D$16="ca"),X21)))))</f>
        <v/>
      </c>
      <c r="AA21" s="270" t="str">
        <f t="shared" si="0"/>
        <v/>
      </c>
      <c r="AB21" s="309"/>
      <c r="AC21" s="312">
        <f t="shared" si="1"/>
        <v>0</v>
      </c>
      <c r="AD21" s="312">
        <f t="shared" si="2"/>
        <v>0</v>
      </c>
      <c r="AE21" s="309">
        <f>SUM($P$21:P21)</f>
        <v>0</v>
      </c>
      <c r="AF21" s="260" t="s">
        <v>72</v>
      </c>
      <c r="AG21" s="261" t="s">
        <v>70</v>
      </c>
      <c r="AH21" s="262" t="s">
        <v>73</v>
      </c>
      <c r="AI21" s="261" t="s">
        <v>74</v>
      </c>
    </row>
    <row r="22" spans="1:35" ht="12" customHeight="1" thickTop="1" thickBot="1">
      <c r="A22" s="2"/>
      <c r="B22" s="771"/>
      <c r="C22" s="62"/>
      <c r="D22" s="63"/>
      <c r="E22" s="64"/>
      <c r="F22" s="35" t="str">
        <f t="shared" si="3"/>
        <v/>
      </c>
      <c r="G22" s="53"/>
      <c r="H22" s="313" t="str">
        <f>IF(AND(E22="",G22=""),"",SUM(F22:$G$35))</f>
        <v/>
      </c>
      <c r="I22" s="266" t="str">
        <f>IF(OR(L22="",M22=""),"",IF(L22="3",VLOOKUP(N22,'K% (Rede Convencional)'!$B$18:$H$29,5),(IF(L22="2",VLOOKUP(O22,'K% (Rede Convencional)'!$B$18:$H$29,6),(IF(L22="1",VLOOKUP(O22,'K% (Rede Convencional)'!$B$18:$H$29,7)))))))</f>
        <v/>
      </c>
      <c r="J22" s="266" t="str">
        <f>IF(OR(L22="",M22=""),"",IF(L22="3",VLOOKUP(N22,'K% (Rede Convencional)'!$B$18:$E$29,2),(IF(L22="2",VLOOKUP(O22,'K% (Rede Convencional)'!$B$18:$E$29,3),(IF(L22="1",VLOOKUP(O22,'K% (Rede Convencional)'!$B$18:$E$29,4)))))))</f>
        <v/>
      </c>
      <c r="K22" s="266" t="str">
        <f t="shared" si="4"/>
        <v/>
      </c>
      <c r="L22" s="49"/>
      <c r="M22" s="49"/>
      <c r="N22" s="81"/>
      <c r="O22" s="82"/>
      <c r="P22" s="53"/>
      <c r="Q22" s="268" t="str">
        <f t="shared" si="5"/>
        <v/>
      </c>
      <c r="R22" s="268" t="str">
        <f>IF(Q22="","",SUM($Q$20:Q22))</f>
        <v/>
      </c>
      <c r="S22" s="268" t="str">
        <f t="shared" si="9" ref="S22:S52">IF(H22="","",IF(L22="3",H22*1000/($D$14*SQRT(3)),IF(L22="2",H22*1000*SQRT(3)/($D$14*2),IF(L22="1",H22*1000*SQRT(3)/$D$14))))</f>
        <v/>
      </c>
      <c r="T22" s="269" t="str">
        <f>IF(OR(N22="a",O22="a"),VLOOKUP("a",'Características dos Cabos'!$D$25:$L$29,9),IF(OR(N22="b",N22="c",O22="b",O22="c"),VLOOKUP("b",'Características dos Cabos'!$D$25:$L$29,9),IF(OR(N22="d",N22="e",O22="d",O22="e"),VLOOKUP("c",'Características dos Cabos'!$D$25:$L$29,9),IF(OR(N22="f",N22="g",N22="h",O22="f",O22="g",O22="h"),VLOOKUP("d",'Características dos Cabos'!$D$25:$L$29,9),IF(OR(N22="i",N22="j",N22="l",N22="m",O22="i",O23="j",O23="l",O23="m"),VLOOKUP("e",'Características dos Cabos'!$D$25:$L$29,9),"")))))</f>
        <v/>
      </c>
      <c r="U22" s="269" t="str">
        <f>IF(OR(N22="a",O22="a"),VLOOKUP("a",'Características dos Cabos'!$D$14:$K$18,8),IF(OR(N22="b",N22="c",O22="b",O22="c"),VLOOKUP("b",'Características dos Cabos'!$D$14:$K$18,8),IF(OR(N22="d",N22="e",O22="d",O22="e"),VLOOKUP("c",'Características dos Cabos'!$D$14:$K$18,8),IF(OR(N22="f",N22="g",N22="h",O22="f",O22="g",O22="h"),VLOOKUP("d",'Características dos Cabos'!$D$14:$K$18,8),IF(OR(N22="i",N22="j",N22="l",N22="m",O22="i",O23="j",O23="l",O23="m"),VLOOKUP("e",'Características dos Cabos'!$D$14:$K$18,8),"")))))</f>
        <v/>
      </c>
      <c r="V22" s="269" t="str">
        <f t="shared" si="6"/>
        <v/>
      </c>
      <c r="W22" s="268" t="str">
        <f t="shared" si="7"/>
        <v/>
      </c>
      <c r="X22" s="314" t="str">
        <f>IF(OR(N22="a",O22="a"),VLOOKUP("a",'Características dos Cabos'!$D$25:$L$29,3),IF(OR(N22="b",N22="c",O22="b",O22="c"),VLOOKUP("b",'Características dos Cabos'!$D$25:$L$29,3),IF(OR(N22="d",N22="e",O22="d",O22="e"),VLOOKUP("c",'Características dos Cabos'!$D$25:$L$29,3),IF(OR(N22="f",N22="g",N22="h",O22="f",O22="g",O22="h"),VLOOKUP("d",'Características dos Cabos'!$D$25:$L$29,3),IF(OR(N22="i",N22="j",N22="l",N22="m",O22="i",O22="j",O22="l",O22="m"),VLOOKUP("e",'Características dos Cabos'!$D$25:$L$29,3),"")))))</f>
        <v/>
      </c>
      <c r="Y22" s="314" t="str">
        <f>IF(OR(N22="a",O22="a"),VLOOKUP("a",'Características dos Cabos'!$D$14:$K$18,4),IF(OR(N22="b",N22="c",O22="b",O22="c"),VLOOKUP("b",'Características dos Cabos'!$D$14:$K$18,4),IF(OR(N22="d",N22="e",O22="d",O22="e"),VLOOKUP("c",'Características dos Cabos'!$D$14:$K$18,4),IF(OR(N22="f",N22="g",N22="h",O22="f",O22="g",O22="h"),VLOOKUP("d",'Características dos Cabos'!$D$14:$K$18,4),IF(OR(N22="i",N22="j",N22="l",N22="m",O22="i",O22="j",O22="l",O22="m"),VLOOKUP("e",'Características dos Cabos'!$D$14:$K$18,4),"")))))</f>
        <v/>
      </c>
      <c r="Z22" s="269" t="str">
        <f t="shared" si="8"/>
        <v/>
      </c>
      <c r="AA22" s="270" t="str">
        <f t="shared" si="0"/>
        <v/>
      </c>
      <c r="AB22" s="309"/>
      <c r="AC22" s="312">
        <f t="shared" si="1"/>
        <v>0</v>
      </c>
      <c r="AD22" s="312">
        <f t="shared" si="2"/>
        <v>0</v>
      </c>
      <c r="AE22" s="309">
        <f>SUM($P$21:P22)</f>
        <v>0</v>
      </c>
      <c r="AF22" s="260" t="s">
        <v>75</v>
      </c>
      <c r="AG22" s="261" t="s">
        <v>76</v>
      </c>
      <c r="AH22" s="262" t="s">
        <v>77</v>
      </c>
      <c r="AI22" s="261" t="s">
        <v>78</v>
      </c>
    </row>
    <row r="23" spans="1:35" ht="12" customHeight="1" thickTop="1" thickBot="1">
      <c r="A23" s="2"/>
      <c r="B23" s="771"/>
      <c r="C23" s="62"/>
      <c r="D23" s="63"/>
      <c r="E23" s="64"/>
      <c r="F23" s="35" t="str">
        <f t="shared" si="3"/>
        <v/>
      </c>
      <c r="G23" s="53"/>
      <c r="H23" s="313" t="str">
        <f>IF(AND(E23="",G23=""),"",SUM(F23:$G$35))</f>
        <v/>
      </c>
      <c r="I23" s="266" t="str">
        <f>IF(OR(L23="",M23=""),"",IF(L23="3",VLOOKUP(N23,'K% (Rede Convencional)'!$B$18:$H$29,5),(IF(L23="2",VLOOKUP(O23,'K% (Rede Convencional)'!$B$18:$H$29,6),(IF(L23="1",VLOOKUP(O23,'K% (Rede Convencional)'!$B$18:$H$29,7)))))))</f>
        <v/>
      </c>
      <c r="J23" s="266" t="str">
        <f>IF(OR(L23="",M23=""),"",IF(L23="3",VLOOKUP(N23,'K% (Rede Convencional)'!$B$18:$E$29,2),(IF(L23="2",VLOOKUP(O23,'K% (Rede Convencional)'!$B$18:$E$29,3),(IF(L23="1",VLOOKUP(O23,'K% (Rede Convencional)'!$B$18:$E$29,4)))))))</f>
        <v/>
      </c>
      <c r="K23" s="266" t="str">
        <f t="shared" si="4"/>
        <v/>
      </c>
      <c r="L23" s="49"/>
      <c r="M23" s="49"/>
      <c r="N23" s="81"/>
      <c r="O23" s="82"/>
      <c r="P23" s="53"/>
      <c r="Q23" s="268" t="str">
        <f t="shared" si="5"/>
        <v/>
      </c>
      <c r="R23" s="268" t="str">
        <f>IF(Q23="","",SUM($Q$20:Q23))</f>
        <v/>
      </c>
      <c r="S23" s="268" t="str">
        <f t="shared" si="9"/>
        <v/>
      </c>
      <c r="T23" s="269" t="str">
        <f>IF(OR(N23="a",O23="a"),VLOOKUP("a",'Características dos Cabos'!$D$25:$L$29,9),IF(OR(N23="b",N23="c",O23="b",O23="c"),VLOOKUP("b",'Características dos Cabos'!$D$25:$L$29,9),IF(OR(N23="d",N23="e",O23="d",O23="e"),VLOOKUP("c",'Características dos Cabos'!$D$25:$L$29,9),IF(OR(N23="f",N23="g",N23="h",O23="f",O23="g",O23="h"),VLOOKUP("d",'Características dos Cabos'!$D$25:$L$29,9),IF(OR(N23="i",N23="j",N23="l",N23="m",O23="i",O24="j",O24="l",O24="m"),VLOOKUP("e",'Características dos Cabos'!$D$25:$L$29,9),"")))))</f>
        <v/>
      </c>
      <c r="U23" s="269" t="str">
        <f>IF(OR(N23="a",O23="a"),VLOOKUP("a",'Características dos Cabos'!$D$14:$K$18,8),IF(OR(N23="b",N23="c",O23="b",O23="c"),VLOOKUP("b",'Características dos Cabos'!$D$14:$K$18,8),IF(OR(N23="d",N23="e",O23="d",O23="e"),VLOOKUP("c",'Características dos Cabos'!$D$14:$K$18,8),IF(OR(N23="f",N23="g",N23="h",O23="f",O23="g",O23="h"),VLOOKUP("d",'Características dos Cabos'!$D$14:$K$18,8),IF(OR(N23="i",N23="j",N23="l",N23="m",O23="i",O24="j",O24="l",O24="m"),VLOOKUP("e",'Características dos Cabos'!$D$14:$K$18,8),"")))))</f>
        <v/>
      </c>
      <c r="V23" s="269" t="str">
        <f t="shared" si="6"/>
        <v/>
      </c>
      <c r="W23" s="268" t="str">
        <f t="shared" si="7"/>
        <v/>
      </c>
      <c r="X23" s="314" t="str">
        <f>IF(OR(N23="a",O23="a"),VLOOKUP("a",'Características dos Cabos'!$D$25:$L$29,3),IF(OR(N23="b",N23="c",O23="b",O23="c"),VLOOKUP("b",'Características dos Cabos'!$D$25:$L$29,3),IF(OR(N23="d",N23="e",O23="d",O23="e"),VLOOKUP("c",'Características dos Cabos'!$D$25:$L$29,3),IF(OR(N23="f",N23="g",N23="h",O23="f",O23="g",O23="h"),VLOOKUP("d",'Características dos Cabos'!$D$25:$L$29,3),IF(OR(N23="i",N23="j",N23="l",N23="m",O23="i",O23="j",O23="l",O23="m"),VLOOKUP("e",'Características dos Cabos'!$D$25:$L$29,3),"")))))</f>
        <v/>
      </c>
      <c r="Y23" s="314" t="str">
        <f>IF(OR(N23="a",O23="a"),VLOOKUP("a",'Características dos Cabos'!$D$14:$K$18,4),IF(OR(N23="b",N23="c",O23="b",O23="c"),VLOOKUP("b",'Características dos Cabos'!$D$14:$K$18,4),IF(OR(N23="d",N23="e",O23="d",O23="e"),VLOOKUP("c",'Características dos Cabos'!$D$14:$K$18,4),IF(OR(N23="f",N23="g",N23="h",O23="f",O23="g",O23="h"),VLOOKUP("d",'Características dos Cabos'!$D$14:$K$18,4),IF(OR(N23="i",N23="j",N23="l",N23="m",O23="i",O23="j",O23="l",O23="m"),VLOOKUP("e",'Características dos Cabos'!$D$14:$K$18,4),"")))))</f>
        <v/>
      </c>
      <c r="Z23" s="269" t="str">
        <f t="shared" si="8"/>
        <v/>
      </c>
      <c r="AA23" s="270" t="str">
        <f t="shared" si="0"/>
        <v/>
      </c>
      <c r="AB23" s="309"/>
      <c r="AC23" s="312">
        <f t="shared" si="1"/>
        <v>0</v>
      </c>
      <c r="AD23" s="312">
        <f t="shared" si="2"/>
        <v>0</v>
      </c>
      <c r="AE23" s="309">
        <f>SUM($P$21:P23)</f>
        <v>0</v>
      </c>
      <c r="AF23" s="260"/>
      <c r="AG23" s="261"/>
      <c r="AH23" s="262" t="s">
        <v>79</v>
      </c>
      <c r="AI23" s="261" t="s">
        <v>80</v>
      </c>
    </row>
    <row r="24" spans="1:35" ht="12" customHeight="1" thickTop="1" thickBot="1">
      <c r="A24" s="2"/>
      <c r="B24" s="771"/>
      <c r="C24" s="62"/>
      <c r="D24" s="63"/>
      <c r="E24" s="64"/>
      <c r="F24" s="35" t="str">
        <f t="shared" si="3"/>
        <v/>
      </c>
      <c r="G24" s="53"/>
      <c r="H24" s="313" t="str">
        <f>IF(AND(E24="",G24=""),"",SUM(F24:$G$35))</f>
        <v/>
      </c>
      <c r="I24" s="266" t="str">
        <f>IF(OR(L24="",M24=""),"",IF(L24="3",VLOOKUP(N24,'K% (Rede Convencional)'!$B$18:$H$29,5),(IF(L24="2",VLOOKUP(O24,'K% (Rede Convencional)'!$B$18:$H$29,6),(IF(L24="1",VLOOKUP(O24,'K% (Rede Convencional)'!$B$18:$H$29,7)))))))</f>
        <v/>
      </c>
      <c r="J24" s="266" t="str">
        <f>IF(OR(L24="",M24=""),"",IF(L24="3",VLOOKUP(N24,'K% (Rede Convencional)'!$B$18:$E$29,2),(IF(L24="2",VLOOKUP(O24,'K% (Rede Convencional)'!$B$18:$E$29,3),(IF(L24="1",VLOOKUP(O24,'K% (Rede Convencional)'!$B$18:$E$29,4)))))))</f>
        <v/>
      </c>
      <c r="K24" s="266" t="str">
        <f t="shared" si="4"/>
        <v/>
      </c>
      <c r="L24" s="49"/>
      <c r="M24" s="49"/>
      <c r="N24" s="81">
        <f t="shared" si="10" ref="N24:N76">IF(M24="4","a",IF(M24="2","b",IF(M24="1/0","d",IF(M24="4/0","f",IF(M24="336,4","i",)))))</f>
        <v>0</v>
      </c>
      <c r="O24" s="82" t="str">
        <f>IF(M24="","",IF(M24="4 (4)","a",IF(OR(M24="2 (4)",M24="2 (2)"),VLOOKUP(M24,mT!$AF$21:$AG$22,2,FALSE),IF(OR(M24="1/0 (4)",M24="1/0 (2)"),VLOOKUP(M24,mT!$AF$24:$AG$25,2,FALSE),IF(OR(M24="4/0 (4)",M24="4/0 (2)",M24="4/0 (1/0)"),VLOOKUP(M24,mT!$AF$27:$AG$29,2,FALSE),IF(OR(M24="336,4 (4)",M24="336,4 (2)",M24="336,4 (1/0)",M24="336,4 (4/0)"),VLOOKUP(M24,mT!$AF$31:$AG$34,2,FALSE),""))))))</f>
        <v/>
      </c>
      <c r="P24" s="53"/>
      <c r="Q24" s="268" t="str">
        <f t="shared" si="5"/>
        <v/>
      </c>
      <c r="R24" s="268" t="str">
        <f>IF(Q24="","",SUM($Q$20:Q24))</f>
        <v/>
      </c>
      <c r="S24" s="268" t="str">
        <f t="shared" si="9"/>
        <v/>
      </c>
      <c r="T24" s="269" t="str">
        <f>IF(OR(N24="a",O24="a"),VLOOKUP("a",'Características dos Cabos'!$D$25:$L$29,9),IF(OR(N24="b",N24="c",O24="b",O24="c"),VLOOKUP("b",'Características dos Cabos'!$D$25:$L$29,9),IF(OR(N24="d",N24="e",O24="d",O24="e"),VLOOKUP("c",'Características dos Cabos'!$D$25:$L$29,9),IF(OR(N24="f",N24="g",N24="h",O24="f",O24="g",O24="h"),VLOOKUP("d",'Características dos Cabos'!$D$25:$L$29,9),IF(OR(N24="i",N24="j",N24="l",N24="m",O24="i",O25="j",O25="l",O25="m"),VLOOKUP("e",'Características dos Cabos'!$D$25:$L$29,9),"")))))</f>
        <v/>
      </c>
      <c r="U24" s="269" t="str">
        <f>IF(OR(N24="a",O24="a"),VLOOKUP("a",'Características dos Cabos'!$D$14:$K$18,8),IF(OR(N24="b",N24="c",O24="b",O24="c"),VLOOKUP("b",'Características dos Cabos'!$D$14:$K$18,8),IF(OR(N24="d",N24="e",O24="d",O24="e"),VLOOKUP("c",'Características dos Cabos'!$D$14:$K$18,8),IF(OR(N24="f",N24="g",N24="h",O24="f",O24="g",O24="h"),VLOOKUP("d",'Características dos Cabos'!$D$14:$K$18,8),IF(OR(N24="i",N24="j",N24="l",N24="m",O24="i",O25="j",O25="l",O25="m"),VLOOKUP("e",'Características dos Cabos'!$D$14:$K$18,8),"")))))</f>
        <v/>
      </c>
      <c r="V24" s="269" t="str">
        <f t="shared" si="6"/>
        <v/>
      </c>
      <c r="W24" s="268" t="str">
        <f t="shared" si="7"/>
        <v/>
      </c>
      <c r="X24" s="314" t="str">
        <f>IF(OR(N24="a",O24="a"),VLOOKUP("a",'Características dos Cabos'!$D$25:$L$29,3),IF(OR(N24="b",N24="c",O24="b",O24="c"),VLOOKUP("b",'Características dos Cabos'!$D$25:$L$29,3),IF(OR(N24="d",N24="e",O24="d",O24="e"),VLOOKUP("c",'Características dos Cabos'!$D$25:$L$29,3),IF(OR(N24="f",N24="g",N24="h",O24="f",O24="g",O24="h"),VLOOKUP("d",'Características dos Cabos'!$D$25:$L$29,3),IF(OR(N24="i",N24="j",N24="l",N24="m",O24="i",O24="j",O24="l",O24="m"),VLOOKUP("e",'Características dos Cabos'!$D$25:$L$29,3),"")))))</f>
        <v/>
      </c>
      <c r="Y24" s="314" t="str">
        <f>IF(OR(N24="a",O24="a"),VLOOKUP("a",'Características dos Cabos'!$D$14:$K$18,4),IF(OR(N24="b",N24="c",O24="b",O24="c"),VLOOKUP("b",'Características dos Cabos'!$D$14:$K$18,4),IF(OR(N24="d",N24="e",O24="d",O24="e"),VLOOKUP("c",'Características dos Cabos'!$D$14:$K$18,4),IF(OR(N24="f",N24="g",N24="h",O24="f",O24="g",O24="h"),VLOOKUP("d",'Características dos Cabos'!$D$14:$K$18,4),IF(OR(N24="i",N24="j",N24="l",N24="m",O24="i",O24="j",O24="l",O24="m"),VLOOKUP("e",'Características dos Cabos'!$D$14:$K$18,4),"")))))</f>
        <v/>
      </c>
      <c r="Z24" s="269" t="str">
        <f t="shared" si="8"/>
        <v/>
      </c>
      <c r="AA24" s="270" t="str">
        <f t="shared" si="0"/>
        <v/>
      </c>
      <c r="AB24" s="309"/>
      <c r="AC24" s="312">
        <f t="shared" si="1"/>
        <v>0</v>
      </c>
      <c r="AD24" s="312">
        <f t="shared" si="2"/>
        <v>0</v>
      </c>
      <c r="AE24" s="309">
        <f>SUM($P$21:P24)</f>
        <v>0</v>
      </c>
      <c r="AF24" s="260" t="s">
        <v>81</v>
      </c>
      <c r="AG24" s="261" t="s">
        <v>74</v>
      </c>
      <c r="AH24" s="257"/>
      <c r="AI24" s="261"/>
    </row>
    <row r="25" spans="1:35" ht="12" customHeight="1" thickTop="1" thickBot="1">
      <c r="A25" s="2"/>
      <c r="B25" s="771"/>
      <c r="C25" s="62"/>
      <c r="D25" s="63"/>
      <c r="E25" s="64"/>
      <c r="F25" s="35" t="str">
        <f t="shared" si="3"/>
        <v/>
      </c>
      <c r="G25" s="53"/>
      <c r="H25" s="313" t="str">
        <f>IF(AND(E25="",G25=""),"",SUM(F25:$G$35))</f>
        <v/>
      </c>
      <c r="I25" s="266" t="str">
        <f>IF(OR(L25="",M25=""),"",IF(L25="3",VLOOKUP(N25,'K% (Rede Convencional)'!$B$18:$H$29,5),(IF(L25="2",VLOOKUP(O25,'K% (Rede Convencional)'!$B$18:$H$29,6),(IF(L25="1",VLOOKUP(O25,'K% (Rede Convencional)'!$B$18:$H$29,7)))))))</f>
        <v/>
      </c>
      <c r="J25" s="266" t="str">
        <f>IF(OR(L25="",M25=""),"",IF(L25="3",VLOOKUP(N25,'K% (Rede Convencional)'!$B$18:$E$29,2),(IF(L25="2",VLOOKUP(O25,'K% (Rede Convencional)'!$B$18:$E$29,3),(IF(L25="1",VLOOKUP(O25,'K% (Rede Convencional)'!$B$18:$E$29,4)))))))</f>
        <v/>
      </c>
      <c r="K25" s="266" t="str">
        <f t="shared" si="4"/>
        <v/>
      </c>
      <c r="L25" s="49"/>
      <c r="M25" s="49"/>
      <c r="N25" s="81">
        <f t="shared" si="10"/>
        <v>0</v>
      </c>
      <c r="O25" s="82" t="str">
        <f>IF(M25="","",IF(M25="4 (4)","a",IF(OR(M25="2 (4)",M25="2 (2)"),VLOOKUP(M25,mT!$AF$21:$AG$22,2,FALSE),IF(OR(M25="1/0 (4)",M25="1/0 (2)"),VLOOKUP(M25,mT!$AF$24:$AG$25,2,FALSE),IF(OR(M25="4/0 (4)",M25="4/0 (2)",M25="4/0 (1/0)"),VLOOKUP(M25,mT!$AF$27:$AG$29,2,FALSE),IF(OR(M25="336,4 (4)",M25="336,4 (2)",M25="336,4 (1/0)",M25="336,4 (4/0)"),VLOOKUP(M25,mT!$AF$31:$AG$34,2,FALSE),""))))))</f>
        <v/>
      </c>
      <c r="P25" s="53"/>
      <c r="Q25" s="268" t="str">
        <f t="shared" si="5"/>
        <v/>
      </c>
      <c r="R25" s="268" t="str">
        <f>IF(Q25="","",SUM($Q$20:Q25))</f>
        <v/>
      </c>
      <c r="S25" s="268" t="str">
        <f t="shared" si="9"/>
        <v/>
      </c>
      <c r="T25" s="269" t="str">
        <f>IF(OR(N25="a",O25="a"),VLOOKUP("a",'Características dos Cabos'!$D$25:$L$29,9),IF(OR(N25="b",N25="c",O25="b",O25="c"),VLOOKUP("b",'Características dos Cabos'!$D$25:$L$29,9),IF(OR(N25="d",N25="e",O25="d",O25="e"),VLOOKUP("c",'Características dos Cabos'!$D$25:$L$29,9),IF(OR(N25="f",N25="g",N25="h",O25="f",O25="g",O25="h"),VLOOKUP("d",'Características dos Cabos'!$D$25:$L$29,9),IF(OR(N25="i",N25="j",N25="l",N25="m",O25="i",O26="j",O26="l",O26="m"),VLOOKUP("e",'Características dos Cabos'!$D$25:$L$29,9),"")))))</f>
        <v/>
      </c>
      <c r="U25" s="269" t="str">
        <f>IF(OR(N25="a",O25="a"),VLOOKUP("a",'Características dos Cabos'!$D$14:$K$18,8),IF(OR(N25="b",N25="c",O25="b",O25="c"),VLOOKUP("b",'Características dos Cabos'!$D$14:$K$18,8),IF(OR(N25="d",N25="e",O25="d",O25="e"),VLOOKUP("c",'Características dos Cabos'!$D$14:$K$18,8),IF(OR(N25="f",N25="g",N25="h",O25="f",O25="g",O25="h"),VLOOKUP("d",'Características dos Cabos'!$D$14:$K$18,8),IF(OR(N25="i",N25="j",N25="l",N25="m",O25="i",O26="j",O26="l",O26="m"),VLOOKUP("e",'Características dos Cabos'!$D$14:$K$18,8),"")))))</f>
        <v/>
      </c>
      <c r="V25" s="269" t="str">
        <f t="shared" si="6"/>
        <v/>
      </c>
      <c r="W25" s="268" t="str">
        <f t="shared" si="7"/>
        <v/>
      </c>
      <c r="X25" s="314" t="str">
        <f>IF(OR(N25="a",O25="a"),VLOOKUP("a",'Características dos Cabos'!$D$25:$L$29,3),IF(OR(N25="b",N25="c",O25="b",O25="c"),VLOOKUP("b",'Características dos Cabos'!$D$25:$L$29,3),IF(OR(N25="d",N25="e",O25="d",O25="e"),VLOOKUP("c",'Características dos Cabos'!$D$25:$L$29,3),IF(OR(N25="f",N25="g",N25="h",O25="f",O25="g",O25="h"),VLOOKUP("d",'Características dos Cabos'!$D$25:$L$29,3),IF(OR(N25="i",N25="j",N25="l",N25="m",O25="i",O25="j",O25="l",O25="m"),VLOOKUP("e",'Características dos Cabos'!$D$25:$L$29,3),"")))))</f>
        <v/>
      </c>
      <c r="Y25" s="314" t="str">
        <f>IF(OR(N25="a",O25="a"),VLOOKUP("a",'Características dos Cabos'!$D$14:$K$18,4),IF(OR(N25="b",N25="c",O25="b",O25="c"),VLOOKUP("b",'Características dos Cabos'!$D$14:$K$18,4),IF(OR(N25="d",N25="e",O25="d",O25="e"),VLOOKUP("c",'Características dos Cabos'!$D$14:$K$18,4),IF(OR(N25="f",N25="g",N25="h",O25="f",O25="g",O25="h"),VLOOKUP("d",'Características dos Cabos'!$D$14:$K$18,4),IF(OR(N25="i",N25="j",N25="l",N25="m",O25="i",O25="j",O25="l",O25="m"),VLOOKUP("e",'Características dos Cabos'!$D$14:$K$18,4),"")))))</f>
        <v/>
      </c>
      <c r="Z25" s="269" t="str">
        <f t="shared" si="8"/>
        <v/>
      </c>
      <c r="AA25" s="270" t="str">
        <f t="shared" si="0"/>
        <v/>
      </c>
      <c r="AB25" s="309"/>
      <c r="AC25" s="312">
        <f t="shared" si="1"/>
        <v>0</v>
      </c>
      <c r="AD25" s="312">
        <f t="shared" si="2"/>
        <v>0</v>
      </c>
      <c r="AE25" s="309">
        <f>SUM($P$21:P25)</f>
        <v>0</v>
      </c>
      <c r="AF25" s="260" t="s">
        <v>82</v>
      </c>
      <c r="AG25" s="261" t="s">
        <v>83</v>
      </c>
      <c r="AH25" s="257"/>
      <c r="AI25" s="261"/>
    </row>
    <row r="26" spans="1:35" ht="12" customHeight="1" thickTop="1" thickBot="1">
      <c r="A26" s="2"/>
      <c r="B26" s="771"/>
      <c r="C26" s="62"/>
      <c r="D26" s="63"/>
      <c r="E26" s="64"/>
      <c r="F26" s="35" t="str">
        <f t="shared" si="3"/>
        <v/>
      </c>
      <c r="G26" s="53"/>
      <c r="H26" s="313" t="str">
        <f>IF(AND(E26="",G26=""),"",SUM(F26:$G$35))</f>
        <v/>
      </c>
      <c r="I26" s="266" t="str">
        <f>IF(OR(L26="",M26=""),"",IF(L26="3",VLOOKUP(N26,'K% (Rede Convencional)'!$B$18:$H$29,5),(IF(L26="2",VLOOKUP(O26,'K% (Rede Convencional)'!$B$18:$H$29,6),(IF(L26="1",VLOOKUP(O26,'K% (Rede Convencional)'!$B$18:$H$29,7)))))))</f>
        <v/>
      </c>
      <c r="J26" s="266" t="str">
        <f>IF(OR(L26="",M26=""),"",IF(L26="3",VLOOKUP(N26,'K% (Rede Convencional)'!$B$18:$E$29,2),(IF(L26="2",VLOOKUP(O26,'K% (Rede Convencional)'!$B$18:$E$29,3),(IF(L26="1",VLOOKUP(O26,'K% (Rede Convencional)'!$B$18:$E$29,4)))))))</f>
        <v/>
      </c>
      <c r="K26" s="266" t="str">
        <f t="shared" si="4"/>
        <v/>
      </c>
      <c r="L26" s="49"/>
      <c r="M26" s="49"/>
      <c r="N26" s="81">
        <f t="shared" si="10"/>
        <v>0</v>
      </c>
      <c r="O26" s="82" t="str">
        <f>IF(M26="","",IF(M26="4 (4)","a",IF(OR(M26="2 (4)",M26="2 (2)"),VLOOKUP(M26,mT!$AF$21:$AG$22,2,FALSE),IF(OR(M26="1/0 (4)",M26="1/0 (2)"),VLOOKUP(M26,mT!$AF$24:$AG$25,2,FALSE),IF(OR(M26="4/0 (4)",M26="4/0 (2)",M26="4/0 (1/0)"),VLOOKUP(M26,mT!$AF$27:$AG$29,2,FALSE),IF(OR(M26="336,4 (4)",M26="336,4 (2)",M26="336,4 (1/0)",M26="336,4 (4/0)"),VLOOKUP(M26,mT!$AF$31:$AG$34,2,FALSE),""))))))</f>
        <v/>
      </c>
      <c r="P26" s="53"/>
      <c r="Q26" s="268" t="str">
        <f t="shared" si="5"/>
        <v/>
      </c>
      <c r="R26" s="268" t="str">
        <f>IF(Q26="","",SUM($Q$20:Q26))</f>
        <v/>
      </c>
      <c r="S26" s="268" t="str">
        <f t="shared" si="9"/>
        <v/>
      </c>
      <c r="T26" s="269" t="str">
        <f>IF(OR(N26="a",O26="a"),VLOOKUP("a",'Características dos Cabos'!$D$25:$L$29,9),IF(OR(N26="b",N26="c",O26="b",O26="c"),VLOOKUP("b",'Características dos Cabos'!$D$25:$L$29,9),IF(OR(N26="d",N26="e",O26="d",O26="e"),VLOOKUP("c",'Características dos Cabos'!$D$25:$L$29,9),IF(OR(N26="f",N26="g",N26="h",O26="f",O26="g",O26="h"),VLOOKUP("d",'Características dos Cabos'!$D$25:$L$29,9),IF(OR(N26="i",N26="j",N26="l",N26="m",O26="i",O27="j",O27="l",O27="m"),VLOOKUP("e",'Características dos Cabos'!$D$25:$L$29,9),"")))))</f>
        <v/>
      </c>
      <c r="U26" s="269" t="str">
        <f>IF(OR(N26="a",O26="a"),VLOOKUP("a",'Características dos Cabos'!$D$14:$K$18,8),IF(OR(N26="b",N26="c",O26="b",O26="c"),VLOOKUP("b",'Características dos Cabos'!$D$14:$K$18,8),IF(OR(N26="d",N26="e",O26="d",O26="e"),VLOOKUP("c",'Características dos Cabos'!$D$14:$K$18,8),IF(OR(N26="f",N26="g",N26="h",O26="f",O26="g",O26="h"),VLOOKUP("d",'Características dos Cabos'!$D$14:$K$18,8),IF(OR(N26="i",N26="j",N26="l",N26="m",O26="i",O27="j",O27="l",O27="m"),VLOOKUP("e",'Características dos Cabos'!$D$14:$K$18,8),"")))))</f>
        <v/>
      </c>
      <c r="V26" s="269" t="str">
        <f t="shared" si="6"/>
        <v/>
      </c>
      <c r="W26" s="268" t="str">
        <f t="shared" si="7"/>
        <v/>
      </c>
      <c r="X26" s="314" t="str">
        <f>IF(OR(N26="a",O26="a"),VLOOKUP("a",'Características dos Cabos'!$D$25:$L$29,3),IF(OR(N26="b",N26="c",O26="b",O26="c"),VLOOKUP("b",'Características dos Cabos'!$D$25:$L$29,3),IF(OR(N26="d",N26="e",O26="d",O26="e"),VLOOKUP("c",'Características dos Cabos'!$D$25:$L$29,3),IF(OR(N26="f",N26="g",N26="h",O26="f",O26="g",O26="h"),VLOOKUP("d",'Características dos Cabos'!$D$25:$L$29,3),IF(OR(N26="i",N26="j",N26="l",N26="m",O26="i",O26="j",O26="l",O26="m"),VLOOKUP("e",'Características dos Cabos'!$D$25:$L$29,3),"")))))</f>
        <v/>
      </c>
      <c r="Y26" s="314" t="str">
        <f>IF(OR(N26="a",O26="a"),VLOOKUP("a",'Características dos Cabos'!$D$14:$K$18,4),IF(OR(N26="b",N26="c",O26="b",O26="c"),VLOOKUP("b",'Características dos Cabos'!$D$14:$K$18,4),IF(OR(N26="d",N26="e",O26="d",O26="e"),VLOOKUP("c",'Características dos Cabos'!$D$14:$K$18,4),IF(OR(N26="f",N26="g",N26="h",O26="f",O26="g",O26="h"),VLOOKUP("d",'Características dos Cabos'!$D$14:$K$18,4),IF(OR(N26="i",N26="j",N26="l",N26="m",O26="i",O26="j",O26="l",O26="m"),VLOOKUP("e",'Características dos Cabos'!$D$14:$K$18,4),"")))))</f>
        <v/>
      </c>
      <c r="Z26" s="269" t="str">
        <f t="shared" si="8"/>
        <v/>
      </c>
      <c r="AA26" s="270" t="str">
        <f t="shared" si="0"/>
        <v/>
      </c>
      <c r="AB26" s="309"/>
      <c r="AC26" s="312">
        <f t="shared" si="1"/>
        <v>0</v>
      </c>
      <c r="AD26" s="312">
        <f t="shared" si="2"/>
        <v>0</v>
      </c>
      <c r="AE26" s="309">
        <f>SUM($P$21:P26)</f>
        <v>0</v>
      </c>
      <c r="AF26" s="260"/>
      <c r="AG26" s="261"/>
      <c r="AH26" s="257"/>
      <c r="AI26" s="261"/>
    </row>
    <row r="27" spans="1:35" ht="12" customHeight="1" thickTop="1" thickBot="1">
      <c r="A27" s="2"/>
      <c r="B27" s="771"/>
      <c r="C27" s="62"/>
      <c r="D27" s="63"/>
      <c r="E27" s="64"/>
      <c r="F27" s="35" t="str">
        <f t="shared" si="3"/>
        <v/>
      </c>
      <c r="G27" s="53"/>
      <c r="H27" s="313" t="str">
        <f>IF(AND(E27="",G27=""),"",SUM(F27:$G$35))</f>
        <v/>
      </c>
      <c r="I27" s="266" t="str">
        <f>IF(OR(L27="",M27=""),"",IF(L27="3",VLOOKUP(N27,'K% (Rede Convencional)'!$B$18:$H$29,5),(IF(L27="2",VLOOKUP(O27,'K% (Rede Convencional)'!$B$18:$H$29,6),(IF(L27="1",VLOOKUP(O27,'K% (Rede Convencional)'!$B$18:$H$29,7)))))))</f>
        <v/>
      </c>
      <c r="J27" s="266" t="str">
        <f>IF(OR(L27="",M27=""),"",IF(L27="3",VLOOKUP(N27,'K% (Rede Convencional)'!$B$18:$E$29,2),(IF(L27="2",VLOOKUP(O27,'K% (Rede Convencional)'!$B$18:$E$29,3),(IF(L27="1",VLOOKUP(O27,'K% (Rede Convencional)'!$B$18:$E$29,4)))))))</f>
        <v/>
      </c>
      <c r="K27" s="266" t="str">
        <f t="shared" si="4"/>
        <v/>
      </c>
      <c r="L27" s="49"/>
      <c r="M27" s="49"/>
      <c r="N27" s="81">
        <f t="shared" si="10"/>
        <v>0</v>
      </c>
      <c r="O27" s="82" t="str">
        <f>IF(M27="","",IF(M27="4 (4)","a",IF(OR(M27="2 (4)",M27="2 (2)"),VLOOKUP(M27,mT!$AF$21:$AG$22,2,FALSE),IF(OR(M27="1/0 (4)",M27="1/0 (2)"),VLOOKUP(M27,mT!$AF$24:$AG$25,2,FALSE),IF(OR(M27="4/0 (4)",M27="4/0 (2)",M27="4/0 (1/0)"),VLOOKUP(M27,mT!$AF$27:$AG$29,2,FALSE),IF(OR(M27="336,4 (4)",M27="336,4 (2)",M27="336,4 (1/0)",M27="336,4 (4/0)"),VLOOKUP(M27,mT!$AF$31:$AG$34,2,FALSE),""))))))</f>
        <v/>
      </c>
      <c r="P27" s="53"/>
      <c r="Q27" s="268" t="str">
        <f t="shared" si="5"/>
        <v/>
      </c>
      <c r="R27" s="268" t="str">
        <f>IF(Q27="","",SUM($Q$20:Q27))</f>
        <v/>
      </c>
      <c r="S27" s="268" t="str">
        <f t="shared" si="9"/>
        <v/>
      </c>
      <c r="T27" s="269" t="str">
        <f>IF(OR(N27="a",O27="a"),VLOOKUP("a",'Características dos Cabos'!$D$25:$L$29,9),IF(OR(N27="b",N27="c",O27="b",O27="c"),VLOOKUP("b",'Características dos Cabos'!$D$25:$L$29,9),IF(OR(N27="d",N27="e",O27="d",O27="e"),VLOOKUP("c",'Características dos Cabos'!$D$25:$L$29,9),IF(OR(N27="f",N27="g",N27="h",O27="f",O27="g",O27="h"),VLOOKUP("d",'Características dos Cabos'!$D$25:$L$29,9),IF(OR(N27="i",N27="j",N27="l",N27="m",O27="i",O28="j",O28="l",O28="m"),VLOOKUP("e",'Características dos Cabos'!$D$25:$L$29,9),"")))))</f>
        <v/>
      </c>
      <c r="U27" s="269" t="str">
        <f>IF(OR(N27="a",O27="a"),VLOOKUP("a",'Características dos Cabos'!$D$14:$K$18,8),IF(OR(N27="b",N27="c",O27="b",O27="c"),VLOOKUP("b",'Características dos Cabos'!$D$14:$K$18,8),IF(OR(N27="d",N27="e",O27="d",O27="e"),VLOOKUP("c",'Características dos Cabos'!$D$14:$K$18,8),IF(OR(N27="f",N27="g",N27="h",O27="f",O27="g",O27="h"),VLOOKUP("d",'Características dos Cabos'!$D$14:$K$18,8),IF(OR(N27="i",N27="j",N27="l",N27="m",O27="i",O28="j",O28="l",O28="m"),VLOOKUP("e",'Características dos Cabos'!$D$14:$K$18,8),"")))))</f>
        <v/>
      </c>
      <c r="V27" s="269" t="str">
        <f t="shared" si="6"/>
        <v/>
      </c>
      <c r="W27" s="268" t="str">
        <f t="shared" si="7"/>
        <v/>
      </c>
      <c r="X27" s="314" t="str">
        <f>IF(OR(N27="a",O27="a"),VLOOKUP("a",'Características dos Cabos'!$D$25:$L$29,3),IF(OR(N27="b",N27="c",O27="b",O27="c"),VLOOKUP("b",'Características dos Cabos'!$D$25:$L$29,3),IF(OR(N27="d",N27="e",O27="d",O27="e"),VLOOKUP("c",'Características dos Cabos'!$D$25:$L$29,3),IF(OR(N27="f",N27="g",N27="h",O27="f",O27="g",O27="h"),VLOOKUP("d",'Características dos Cabos'!$D$25:$L$29,3),IF(OR(N27="i",N27="j",N27="l",N27="m",O27="i",O27="j",O27="l",O27="m"),VLOOKUP("e",'Características dos Cabos'!$D$25:$L$29,3),"")))))</f>
        <v/>
      </c>
      <c r="Y27" s="314" t="str">
        <f>IF(OR(N27="a",O27="a"),VLOOKUP("a",'Características dos Cabos'!$D$14:$K$18,4),IF(OR(N27="b",N27="c",O27="b",O27="c"),VLOOKUP("b",'Características dos Cabos'!$D$14:$K$18,4),IF(OR(N27="d",N27="e",O27="d",O27="e"),VLOOKUP("c",'Características dos Cabos'!$D$14:$K$18,4),IF(OR(N27="f",N27="g",N27="h",O27="f",O27="g",O27="h"),VLOOKUP("d",'Características dos Cabos'!$D$14:$K$18,4),IF(OR(N27="i",N27="j",N27="l",N27="m",O27="i",O27="j",O27="l",O27="m"),VLOOKUP("e",'Características dos Cabos'!$D$14:$K$18,4),"")))))</f>
        <v/>
      </c>
      <c r="Z27" s="269" t="str">
        <f t="shared" si="8"/>
        <v/>
      </c>
      <c r="AA27" s="270" t="str">
        <f t="shared" si="0"/>
        <v/>
      </c>
      <c r="AB27" s="309"/>
      <c r="AC27" s="312">
        <f t="shared" si="1"/>
        <v>0</v>
      </c>
      <c r="AD27" s="312">
        <f t="shared" si="2"/>
        <v>0</v>
      </c>
      <c r="AE27" s="309">
        <f>SUM($P$21:P27)</f>
        <v>0</v>
      </c>
      <c r="AF27" s="260" t="s">
        <v>84</v>
      </c>
      <c r="AG27" s="261" t="s">
        <v>78</v>
      </c>
      <c r="AH27" s="257"/>
      <c r="AI27" s="261"/>
    </row>
    <row r="28" spans="1:35" ht="12" customHeight="1" thickTop="1" thickBot="1">
      <c r="A28" s="2"/>
      <c r="B28" s="771"/>
      <c r="C28" s="62"/>
      <c r="D28" s="63"/>
      <c r="E28" s="64"/>
      <c r="F28" s="35" t="str">
        <f t="shared" si="3"/>
        <v/>
      </c>
      <c r="G28" s="53"/>
      <c r="H28" s="313" t="str">
        <f>IF(AND(E28="",G28=""),"",SUM(F28:$G$35))</f>
        <v/>
      </c>
      <c r="I28" s="266" t="str">
        <f>IF(OR(L28="",M28=""),"",IF(L28="3",VLOOKUP(N28,'K% (Rede Convencional)'!$B$18:$H$29,5),(IF(L28="2",VLOOKUP(O28,'K% (Rede Convencional)'!$B$18:$H$29,6),(IF(L28="1",VLOOKUP(O28,'K% (Rede Convencional)'!$B$18:$H$29,7)))))))</f>
        <v/>
      </c>
      <c r="J28" s="266" t="str">
        <f>IF(OR(L28="",M28=""),"",IF(L28="3",VLOOKUP(N28,'K% (Rede Convencional)'!$B$18:$E$29,2),(IF(L28="2",VLOOKUP(O28,'K% (Rede Convencional)'!$B$18:$E$29,3),(IF(L28="1",VLOOKUP(O28,'K% (Rede Convencional)'!$B$18:$E$29,4)))))))</f>
        <v/>
      </c>
      <c r="K28" s="266" t="str">
        <f t="shared" si="4"/>
        <v/>
      </c>
      <c r="L28" s="49"/>
      <c r="M28" s="49"/>
      <c r="N28" s="81">
        <f t="shared" si="10"/>
        <v>0</v>
      </c>
      <c r="O28" s="82" t="str">
        <f>IF(M28="","",IF(M28="4 (4)","a",IF(OR(M28="2 (4)",M28="2 (2)"),VLOOKUP(M28,mT!$AF$21:$AG$22,2,FALSE),IF(OR(M28="1/0 (4)",M28="1/0 (2)"),VLOOKUP(M28,mT!$AF$24:$AG$25,2,FALSE),IF(OR(M28="4/0 (4)",M28="4/0 (2)",M28="4/0 (1/0)"),VLOOKUP(M28,mT!$AF$27:$AG$29,2,FALSE),IF(OR(M28="336,4 (4)",M28="336,4 (2)",M28="336,4 (1/0)",M28="336,4 (4/0)"),VLOOKUP(M28,mT!$AF$31:$AG$34,2,FALSE),""))))))</f>
        <v/>
      </c>
      <c r="P28" s="53"/>
      <c r="Q28" s="268" t="str">
        <f t="shared" si="5"/>
        <v/>
      </c>
      <c r="R28" s="268" t="str">
        <f>IF(Q28="","",SUM($Q$20:Q28))</f>
        <v/>
      </c>
      <c r="S28" s="268" t="str">
        <f t="shared" si="9"/>
        <v/>
      </c>
      <c r="T28" s="269" t="str">
        <f>IF(OR(N28="a",O28="a"),VLOOKUP("a",'Características dos Cabos'!$D$25:$L$29,9),IF(OR(N28="b",N28="c",O28="b",O28="c"),VLOOKUP("b",'Características dos Cabos'!$D$25:$L$29,9),IF(OR(N28="d",N28="e",O28="d",O28="e"),VLOOKUP("c",'Características dos Cabos'!$D$25:$L$29,9),IF(OR(N28="f",N28="g",N28="h",O28="f",O28="g",O28="h"),VLOOKUP("d",'Características dos Cabos'!$D$25:$L$29,9),IF(OR(N28="i",N28="j",N28="l",N28="m",O28="i",O29="j",O29="l",O29="m"),VLOOKUP("e",'Características dos Cabos'!$D$25:$L$29,9),"")))))</f>
        <v/>
      </c>
      <c r="U28" s="269" t="str">
        <f>IF(OR(N28="a",O28="a"),VLOOKUP("a",'Características dos Cabos'!$D$14:$K$18,8),IF(OR(N28="b",N28="c",O28="b",O28="c"),VLOOKUP("b",'Características dos Cabos'!$D$14:$K$18,8),IF(OR(N28="d",N28="e",O28="d",O28="e"),VLOOKUP("c",'Características dos Cabos'!$D$14:$K$18,8),IF(OR(N28="f",N28="g",N28="h",O28="f",O28="g",O28="h"),VLOOKUP("d",'Características dos Cabos'!$D$14:$K$18,8),IF(OR(N28="i",N28="j",N28="l",N28="m",O28="i",O29="j",O29="l",O29="m"),VLOOKUP("e",'Características dos Cabos'!$D$14:$K$18,8),"")))))</f>
        <v/>
      </c>
      <c r="V28" s="269" t="str">
        <f t="shared" si="6"/>
        <v/>
      </c>
      <c r="W28" s="268" t="str">
        <f t="shared" si="7"/>
        <v/>
      </c>
      <c r="X28" s="314" t="str">
        <f>IF(OR(N28="a",O28="a"),VLOOKUP("a",'Características dos Cabos'!$D$25:$L$29,3),IF(OR(N28="b",N28="c",O28="b",O28="c"),VLOOKUP("b",'Características dos Cabos'!$D$25:$L$29,3),IF(OR(N28="d",N28="e",O28="d",O28="e"),VLOOKUP("c",'Características dos Cabos'!$D$25:$L$29,3),IF(OR(N28="f",N28="g",N28="h",O28="f",O28="g",O28="h"),VLOOKUP("d",'Características dos Cabos'!$D$25:$L$29,3),IF(OR(N28="i",N28="j",N28="l",N28="m",O28="i",O28="j",O28="l",O28="m"),VLOOKUP("e",'Características dos Cabos'!$D$25:$L$29,3),"")))))</f>
        <v/>
      </c>
      <c r="Y28" s="314" t="str">
        <f>IF(OR(N28="a",O28="a"),VLOOKUP("a",'Características dos Cabos'!$D$14:$K$18,4),IF(OR(N28="b",N28="c",O28="b",O28="c"),VLOOKUP("b",'Características dos Cabos'!$D$14:$K$18,4),IF(OR(N28="d",N28="e",O28="d",O28="e"),VLOOKUP("c",'Características dos Cabos'!$D$14:$K$18,4),IF(OR(N28="f",N28="g",N28="h",O28="f",O28="g",O28="h"),VLOOKUP("d",'Características dos Cabos'!$D$14:$K$18,4),IF(OR(N28="i",N28="j",N28="l",N28="m",O28="i",O28="j",O28="l",O28="m"),VLOOKUP("e",'Características dos Cabos'!$D$14:$K$18,4),"")))))</f>
        <v/>
      </c>
      <c r="Z28" s="269" t="str">
        <f t="shared" si="8"/>
        <v/>
      </c>
      <c r="AA28" s="270" t="str">
        <f t="shared" si="0"/>
        <v/>
      </c>
      <c r="AB28" s="309"/>
      <c r="AC28" s="312">
        <f t="shared" si="1"/>
        <v>0</v>
      </c>
      <c r="AD28" s="312">
        <f t="shared" si="2"/>
        <v>0</v>
      </c>
      <c r="AE28" s="309">
        <f>SUM($P$21:P28)</f>
        <v>0</v>
      </c>
      <c r="AF28" s="260" t="s">
        <v>85</v>
      </c>
      <c r="AG28" s="261" t="s">
        <v>86</v>
      </c>
      <c r="AH28" s="257"/>
      <c r="AI28" s="261"/>
    </row>
    <row r="29" spans="1:35" ht="12" customHeight="1" thickTop="1" thickBot="1">
      <c r="A29" s="2"/>
      <c r="B29" s="771"/>
      <c r="C29" s="62"/>
      <c r="D29" s="63"/>
      <c r="E29" s="64"/>
      <c r="F29" s="35" t="str">
        <f t="shared" si="3"/>
        <v/>
      </c>
      <c r="G29" s="53"/>
      <c r="H29" s="313" t="str">
        <f>IF(AND(E29="",G29=""),"",SUM(F29:$G$35))</f>
        <v/>
      </c>
      <c r="I29" s="266" t="str">
        <f>IF(OR(L29="",M29=""),"",IF(L29="3",VLOOKUP(N29,'K% (Rede Convencional)'!$B$18:$H$29,5),(IF(L29="2",VLOOKUP(O29,'K% (Rede Convencional)'!$B$18:$H$29,6),(IF(L29="1",VLOOKUP(O29,'K% (Rede Convencional)'!$B$18:$H$29,7)))))))</f>
        <v/>
      </c>
      <c r="J29" s="266" t="str">
        <f>IF(OR(L29="",M29=""),"",IF(L29="3",VLOOKUP(N29,'K% (Rede Convencional)'!$B$18:$E$29,2),(IF(L29="2",VLOOKUP(O29,'K% (Rede Convencional)'!$B$18:$E$29,3),(IF(L29="1",VLOOKUP(O29,'K% (Rede Convencional)'!$B$18:$E$29,4)))))))</f>
        <v/>
      </c>
      <c r="K29" s="266" t="str">
        <f t="shared" si="4"/>
        <v/>
      </c>
      <c r="L29" s="49"/>
      <c r="M29" s="49"/>
      <c r="N29" s="81">
        <f t="shared" si="10"/>
        <v>0</v>
      </c>
      <c r="O29" s="82" t="str">
        <f>IF(M29="","",IF(M29="4 (4)","a",IF(OR(M29="2 (4)",M29="2 (2)"),VLOOKUP(M29,mT!$AF$21:$AG$22,2,FALSE),IF(OR(M29="1/0 (4)",M29="1/0 (2)"),VLOOKUP(M29,mT!$AF$24:$AG$25,2,FALSE),IF(OR(M29="4/0 (4)",M29="4/0 (2)",M29="4/0 (1/0)"),VLOOKUP(M29,mT!$AF$27:$AG$29,2,FALSE),IF(OR(M29="336,4 (4)",M29="336,4 (2)",M29="336,4 (1/0)",M29="336,4 (4/0)"),VLOOKUP(M29,mT!$AF$31:$AG$34,2,FALSE),""))))))</f>
        <v/>
      </c>
      <c r="P29" s="53"/>
      <c r="Q29" s="268" t="str">
        <f t="shared" si="5"/>
        <v/>
      </c>
      <c r="R29" s="268" t="str">
        <f>IF(Q29="","",SUM($Q$20:Q29))</f>
        <v/>
      </c>
      <c r="S29" s="268" t="str">
        <f t="shared" si="9"/>
        <v/>
      </c>
      <c r="T29" s="269" t="str">
        <f>IF(OR(N29="a",O29="a"),VLOOKUP("a",'Características dos Cabos'!$D$25:$L$29,9),IF(OR(N29="b",N29="c",O29="b",O29="c"),VLOOKUP("b",'Características dos Cabos'!$D$25:$L$29,9),IF(OR(N29="d",N29="e",O29="d",O29="e"),VLOOKUP("c",'Características dos Cabos'!$D$25:$L$29,9),IF(OR(N29="f",N29="g",N29="h",O29="f",O29="g",O29="h"),VLOOKUP("d",'Características dos Cabos'!$D$25:$L$29,9),IF(OR(N29="i",N29="j",N29="l",N29="m",O29="i",O30="j",O30="l",O30="m"),VLOOKUP("e",'Características dos Cabos'!$D$25:$L$29,9),"")))))</f>
        <v/>
      </c>
      <c r="U29" s="269" t="str">
        <f>IF(OR(N29="a",O29="a"),VLOOKUP("a",'Características dos Cabos'!$D$14:$K$18,8),IF(OR(N29="b",N29="c",O29="b",O29="c"),VLOOKUP("b",'Características dos Cabos'!$D$14:$K$18,8),IF(OR(N29="d",N29="e",O29="d",O29="e"),VLOOKUP("c",'Características dos Cabos'!$D$14:$K$18,8),IF(OR(N29="f",N29="g",N29="h",O29="f",O29="g",O29="h"),VLOOKUP("d",'Características dos Cabos'!$D$14:$K$18,8),IF(OR(N29="i",N29="j",N29="l",N29="m",O29="i",O30="j",O30="l",O30="m"),VLOOKUP("e",'Características dos Cabos'!$D$14:$K$18,8),"")))))</f>
        <v/>
      </c>
      <c r="V29" s="269" t="str">
        <f t="shared" si="6"/>
        <v/>
      </c>
      <c r="W29" s="268" t="str">
        <f t="shared" si="7"/>
        <v/>
      </c>
      <c r="X29" s="314" t="str">
        <f>IF(OR(N29="a",O29="a"),VLOOKUP("a",'Características dos Cabos'!$D$25:$L$29,3),IF(OR(N29="b",N29="c",O29="b",O29="c"),VLOOKUP("b",'Características dos Cabos'!$D$25:$L$29,3),IF(OR(N29="d",N29="e",O29="d",O29="e"),VLOOKUP("c",'Características dos Cabos'!$D$25:$L$29,3),IF(OR(N29="f",N29="g",N29="h",O29="f",O29="g",O29="h"),VLOOKUP("d",'Características dos Cabos'!$D$25:$L$29,3),IF(OR(N29="i",N29="j",N29="l",N29="m",O29="i",O29="j",O29="l",O29="m"),VLOOKUP("e",'Características dos Cabos'!$D$25:$L$29,3),"")))))</f>
        <v/>
      </c>
      <c r="Y29" s="314" t="str">
        <f>IF(OR(N29="a",O29="a"),VLOOKUP("a",'Características dos Cabos'!$D$14:$K$18,4),IF(OR(N29="b",N29="c",O29="b",O29="c"),VLOOKUP("b",'Características dos Cabos'!$D$14:$K$18,4),IF(OR(N29="d",N29="e",O29="d",O29="e"),VLOOKUP("c",'Características dos Cabos'!$D$14:$K$18,4),IF(OR(N29="f",N29="g",N29="h",O29="f",O29="g",O29="h"),VLOOKUP("d",'Características dos Cabos'!$D$14:$K$18,4),IF(OR(N29="i",N29="j",N29="l",N29="m",O29="i",O29="j",O29="l",O29="m"),VLOOKUP("e",'Características dos Cabos'!$D$14:$K$18,4),"")))))</f>
        <v/>
      </c>
      <c r="Z29" s="269" t="str">
        <f t="shared" si="8"/>
        <v/>
      </c>
      <c r="AA29" s="270" t="str">
        <f t="shared" si="0"/>
        <v/>
      </c>
      <c r="AB29" s="309"/>
      <c r="AC29" s="312">
        <f t="shared" si="1"/>
        <v>0</v>
      </c>
      <c r="AD29" s="312">
        <f t="shared" si="2"/>
        <v>0</v>
      </c>
      <c r="AE29" s="309">
        <f>SUM($P$21:P29)</f>
        <v>0</v>
      </c>
      <c r="AF29" s="260" t="s">
        <v>87</v>
      </c>
      <c r="AG29" s="261" t="s">
        <v>88</v>
      </c>
      <c r="AH29" s="257"/>
      <c r="AI29" s="261"/>
    </row>
    <row r="30" spans="1:35" ht="12" customHeight="1" thickTop="1" thickBot="1">
      <c r="A30" s="2"/>
      <c r="B30" s="771"/>
      <c r="C30" s="62"/>
      <c r="D30" s="63"/>
      <c r="E30" s="64"/>
      <c r="F30" s="35" t="str">
        <f t="shared" si="3"/>
        <v/>
      </c>
      <c r="G30" s="53"/>
      <c r="H30" s="313" t="str">
        <f>IF(AND(E30="",G30=""),"",SUM(F30:$G$35))</f>
        <v/>
      </c>
      <c r="I30" s="266" t="str">
        <f>IF(OR(L30="",M30=""),"",IF(L30="3",VLOOKUP(N30,'K% (Rede Convencional)'!$B$18:$H$29,5),(IF(L30="2",VLOOKUP(O30,'K% (Rede Convencional)'!$B$18:$H$29,6),(IF(L30="1",VLOOKUP(O30,'K% (Rede Convencional)'!$B$18:$H$29,7)))))))</f>
        <v/>
      </c>
      <c r="J30" s="266" t="str">
        <f>IF(OR(L30="",M30=""),"",IF(L30="3",VLOOKUP(N30,'K% (Rede Convencional)'!$B$18:$E$29,2),(IF(L30="2",VLOOKUP(O30,'K% (Rede Convencional)'!$B$18:$E$29,3),(IF(L30="1",VLOOKUP(O30,'K% (Rede Convencional)'!$B$18:$E$29,4)))))))</f>
        <v/>
      </c>
      <c r="K30" s="266" t="str">
        <f t="shared" si="4"/>
        <v/>
      </c>
      <c r="L30" s="49"/>
      <c r="M30" s="49"/>
      <c r="N30" s="81">
        <f t="shared" si="10"/>
        <v>0</v>
      </c>
      <c r="O30" s="82" t="str">
        <f>IF(M30="","",IF(M30="4 (4)","a",IF(OR(M30="2 (4)",M30="2 (2)"),VLOOKUP(M30,mT!$AF$21:$AG$22,2,FALSE),IF(OR(M30="1/0 (4)",M30="1/0 (2)"),VLOOKUP(M30,mT!$AF$24:$AG$25,2,FALSE),IF(OR(M30="4/0 (4)",M30="4/0 (2)",M30="4/0 (1/0)"),VLOOKUP(M30,mT!$AF$27:$AG$29,2,FALSE),IF(OR(M30="336,4 (4)",M30="336,4 (2)",M30="336,4 (1/0)",M30="336,4 (4/0)"),VLOOKUP(M30,mT!$AF$31:$AG$34,2,FALSE),""))))))</f>
        <v/>
      </c>
      <c r="P30" s="53"/>
      <c r="Q30" s="268" t="str">
        <f t="shared" si="5"/>
        <v/>
      </c>
      <c r="R30" s="268" t="str">
        <f>IF(Q30="","",SUM($Q$20:Q30))</f>
        <v/>
      </c>
      <c r="S30" s="268" t="str">
        <f t="shared" si="9"/>
        <v/>
      </c>
      <c r="T30" s="269" t="str">
        <f>IF(OR(N30="a",O30="a"),VLOOKUP("a",'Características dos Cabos'!$D$25:$L$29,9),IF(OR(N30="b",N30="c",O30="b",O30="c"),VLOOKUP("b",'Características dos Cabos'!$D$25:$L$29,9),IF(OR(N30="d",N30="e",O30="d",O30="e"),VLOOKUP("c",'Características dos Cabos'!$D$25:$L$29,9),IF(OR(N30="f",N30="g",N30="h",O30="f",O30="g",O30="h"),VLOOKUP("d",'Características dos Cabos'!$D$25:$L$29,9),IF(OR(N30="i",N30="j",N30="l",N30="m",O30="i",O31="j",O31="l",O31="m"),VLOOKUP("e",'Características dos Cabos'!$D$25:$L$29,9),"")))))</f>
        <v/>
      </c>
      <c r="U30" s="269" t="str">
        <f>IF(OR(N30="a",O30="a"),VLOOKUP("a",'Características dos Cabos'!$D$14:$K$18,8),IF(OR(N30="b",N30="c",O30="b",O30="c"),VLOOKUP("b",'Características dos Cabos'!$D$14:$K$18,8),IF(OR(N30="d",N30="e",O30="d",O30="e"),VLOOKUP("c",'Características dos Cabos'!$D$14:$K$18,8),IF(OR(N30="f",N30="g",N30="h",O30="f",O30="g",O30="h"),VLOOKUP("d",'Características dos Cabos'!$D$14:$K$18,8),IF(OR(N30="i",N30="j",N30="l",N30="m",O30="i",O31="j",O31="l",O31="m"),VLOOKUP("e",'Características dos Cabos'!$D$14:$K$18,8),"")))))</f>
        <v/>
      </c>
      <c r="V30" s="269" t="str">
        <f t="shared" si="6"/>
        <v/>
      </c>
      <c r="W30" s="268" t="str">
        <f t="shared" si="7"/>
        <v/>
      </c>
      <c r="X30" s="314" t="str">
        <f>IF(OR(N30="a",O30="a"),VLOOKUP("a",'Características dos Cabos'!$D$25:$L$29,3),IF(OR(N30="b",N30="c",O30="b",O30="c"),VLOOKUP("b",'Características dos Cabos'!$D$25:$L$29,3),IF(OR(N30="d",N30="e",O30="d",O30="e"),VLOOKUP("c",'Características dos Cabos'!$D$25:$L$29,3),IF(OR(N30="f",N30="g",N30="h",O30="f",O30="g",O30="h"),VLOOKUP("d",'Características dos Cabos'!$D$25:$L$29,3),IF(OR(N30="i",N30="j",N30="l",N30="m",O30="i",O30="j",O30="l",O30="m"),VLOOKUP("e",'Características dos Cabos'!$D$25:$L$29,3),"")))))</f>
        <v/>
      </c>
      <c r="Y30" s="314" t="str">
        <f>IF(OR(N30="a",O30="a"),VLOOKUP("a",'Características dos Cabos'!$D$14:$K$18,4),IF(OR(N30="b",N30="c",O30="b",O30="c"),VLOOKUP("b",'Características dos Cabos'!$D$14:$K$18,4),IF(OR(N30="d",N30="e",O30="d",O30="e"),VLOOKUP("c",'Características dos Cabos'!$D$14:$K$18,4),IF(OR(N30="f",N30="g",N30="h",O30="f",O30="g",O30="h"),VLOOKUP("d",'Características dos Cabos'!$D$14:$K$18,4),IF(OR(N30="i",N30="j",N30="l",N30="m",O30="i",O30="j",O30="l",O30="m"),VLOOKUP("e",'Características dos Cabos'!$D$14:$K$18,4),"")))))</f>
        <v/>
      </c>
      <c r="Z30" s="269" t="str">
        <f t="shared" si="8"/>
        <v/>
      </c>
      <c r="AA30" s="270" t="str">
        <f t="shared" si="0"/>
        <v/>
      </c>
      <c r="AB30" s="309"/>
      <c r="AC30" s="312">
        <f t="shared" si="1"/>
        <v>0</v>
      </c>
      <c r="AD30" s="312">
        <f t="shared" si="2"/>
        <v>0</v>
      </c>
      <c r="AE30" s="309">
        <f>SUM($P$21:P30)</f>
        <v>0</v>
      </c>
      <c r="AF30" s="260"/>
      <c r="AG30" s="261"/>
      <c r="AH30" s="257"/>
      <c r="AI30" s="261"/>
    </row>
    <row r="31" spans="1:35" ht="12" customHeight="1" thickTop="1" thickBot="1">
      <c r="A31" s="2"/>
      <c r="B31" s="771"/>
      <c r="C31" s="62"/>
      <c r="D31" s="63"/>
      <c r="E31" s="64"/>
      <c r="F31" s="35" t="str">
        <f t="shared" si="3"/>
        <v/>
      </c>
      <c r="G31" s="53"/>
      <c r="H31" s="313" t="str">
        <f>IF(AND(E31="",G31=""),"",SUM(F31:$G$35))</f>
        <v/>
      </c>
      <c r="I31" s="266" t="str">
        <f>IF(OR(L31="",M31=""),"",IF(L31="3",VLOOKUP(N31,'K% (Rede Convencional)'!$B$18:$H$29,5),(IF(L31="2",VLOOKUP(O31,'K% (Rede Convencional)'!$B$18:$H$29,6),(IF(L31="1",VLOOKUP(O31,'K% (Rede Convencional)'!$B$18:$H$29,7)))))))</f>
        <v/>
      </c>
      <c r="J31" s="266" t="str">
        <f>IF(OR(L31="",M31=""),"",IF(L31="3",VLOOKUP(N31,'K% (Rede Convencional)'!$B$18:$E$29,2),(IF(L31="2",VLOOKUP(O31,'K% (Rede Convencional)'!$B$18:$E$29,3),(IF(L31="1",VLOOKUP(O31,'K% (Rede Convencional)'!$B$18:$E$29,4)))))))</f>
        <v/>
      </c>
      <c r="K31" s="266" t="str">
        <f t="shared" si="4"/>
        <v/>
      </c>
      <c r="L31" s="49"/>
      <c r="M31" s="49"/>
      <c r="N31" s="81">
        <f t="shared" si="10"/>
        <v>0</v>
      </c>
      <c r="O31" s="82" t="str">
        <f>IF(M31="","",IF(M31="4 (4)","a",IF(OR(M31="2 (4)",M31="2 (2)"),VLOOKUP(M31,mT!$AF$21:$AG$22,2,FALSE),IF(OR(M31="1/0 (4)",M31="1/0 (2)"),VLOOKUP(M31,mT!$AF$24:$AG$25,2,FALSE),IF(OR(M31="4/0 (4)",M31="4/0 (2)",M31="4/0 (1/0)"),VLOOKUP(M31,mT!$AF$27:$AG$29,2,FALSE),IF(OR(M31="336,4 (4)",M31="336,4 (2)",M31="336,4 (1/0)",M31="336,4 (4/0)"),VLOOKUP(M31,mT!$AF$31:$AG$34,2,FALSE),""))))))</f>
        <v/>
      </c>
      <c r="P31" s="53"/>
      <c r="Q31" s="268" t="str">
        <f t="shared" si="5"/>
        <v/>
      </c>
      <c r="R31" s="268" t="str">
        <f>IF(Q31="","",SUM($Q$20:Q31))</f>
        <v/>
      </c>
      <c r="S31" s="268" t="str">
        <f t="shared" si="9"/>
        <v/>
      </c>
      <c r="T31" s="269" t="str">
        <f>IF(OR(N31="a",O31="a"),VLOOKUP("a",'Características dos Cabos'!$D$25:$L$29,9),IF(OR(N31="b",N31="c",O31="b",O31="c"),VLOOKUP("b",'Características dos Cabos'!$D$25:$L$29,9),IF(OR(N31="d",N31="e",O31="d",O31="e"),VLOOKUP("c",'Características dos Cabos'!$D$25:$L$29,9),IF(OR(N31="f",N31="g",N31="h",O31="f",O31="g",O31="h"),VLOOKUP("d",'Características dos Cabos'!$D$25:$L$29,9),IF(OR(N31="i",N31="j",N31="l",N31="m",O31="i",O32="j",O32="l",O32="m"),VLOOKUP("e",'Características dos Cabos'!$D$25:$L$29,9),"")))))</f>
        <v/>
      </c>
      <c r="U31" s="269" t="str">
        <f>IF(OR(N31="a",O31="a"),VLOOKUP("a",'Características dos Cabos'!$D$14:$K$18,8),IF(OR(N31="b",N31="c",O31="b",O31="c"),VLOOKUP("b",'Características dos Cabos'!$D$14:$K$18,8),IF(OR(N31="d",N31="e",O31="d",O31="e"),VLOOKUP("c",'Características dos Cabos'!$D$14:$K$18,8),IF(OR(N31="f",N31="g",N31="h",O31="f",O31="g",O31="h"),VLOOKUP("d",'Características dos Cabos'!$D$14:$K$18,8),IF(OR(N31="i",N31="j",N31="l",N31="m",O31="i",O32="j",O32="l",O32="m"),VLOOKUP("e",'Características dos Cabos'!$D$14:$K$18,8),"")))))</f>
        <v/>
      </c>
      <c r="V31" s="269" t="str">
        <f t="shared" si="6"/>
        <v/>
      </c>
      <c r="W31" s="268" t="str">
        <f t="shared" si="7"/>
        <v/>
      </c>
      <c r="X31" s="314" t="str">
        <f>IF(OR(N31="a",O31="a"),VLOOKUP("a",'Características dos Cabos'!$D$25:$L$29,3),IF(OR(N31="b",N31="c",O31="b",O31="c"),VLOOKUP("b",'Características dos Cabos'!$D$25:$L$29,3),IF(OR(N31="d",N31="e",O31="d",O31="e"),VLOOKUP("c",'Características dos Cabos'!$D$25:$L$29,3),IF(OR(N31="f",N31="g",N31="h",O31="f",O31="g",O31="h"),VLOOKUP("d",'Características dos Cabos'!$D$25:$L$29,3),IF(OR(N31="i",N31="j",N31="l",N31="m",O31="i",O31="j",O31="l",O31="m"),VLOOKUP("e",'Características dos Cabos'!$D$25:$L$29,3),"")))))</f>
        <v/>
      </c>
      <c r="Y31" s="314" t="str">
        <f>IF(OR(N31="a",O31="a"),VLOOKUP("a",'Características dos Cabos'!$D$14:$K$18,4),IF(OR(N31="b",N31="c",O31="b",O31="c"),VLOOKUP("b",'Características dos Cabos'!$D$14:$K$18,4),IF(OR(N31="d",N31="e",O31="d",O31="e"),VLOOKUP("c",'Características dos Cabos'!$D$14:$K$18,4),IF(OR(N31="f",N31="g",N31="h",O31="f",O31="g",O31="h"),VLOOKUP("d",'Características dos Cabos'!$D$14:$K$18,4),IF(OR(N31="i",N31="j",N31="l",N31="m",O31="i",O31="j",O31="l",O31="m"),VLOOKUP("e",'Características dos Cabos'!$D$14:$K$18,4),"")))))</f>
        <v/>
      </c>
      <c r="Z31" s="269" t="str">
        <f t="shared" si="8"/>
        <v/>
      </c>
      <c r="AA31" s="270" t="str">
        <f t="shared" si="0"/>
        <v/>
      </c>
      <c r="AB31" s="309"/>
      <c r="AC31" s="312">
        <f t="shared" si="1"/>
        <v>0</v>
      </c>
      <c r="AD31" s="312">
        <f t="shared" si="2"/>
        <v>0</v>
      </c>
      <c r="AE31" s="309">
        <f>SUM($P$21:P31)</f>
        <v>0</v>
      </c>
      <c r="AF31" s="260" t="s">
        <v>89</v>
      </c>
      <c r="AG31" s="261" t="s">
        <v>80</v>
      </c>
      <c r="AH31" s="257"/>
      <c r="AI31" s="261"/>
    </row>
    <row r="32" spans="1:35" ht="14.25" thickTop="1" thickBot="1">
      <c r="A32" s="2"/>
      <c r="B32" s="771"/>
      <c r="C32" s="62"/>
      <c r="D32" s="63"/>
      <c r="E32" s="64"/>
      <c r="F32" s="35" t="str">
        <f t="shared" si="3"/>
        <v/>
      </c>
      <c r="G32" s="53"/>
      <c r="H32" s="313" t="str">
        <f>IF(AND(E32="",G32=""),"",SUM(F32:$G$35))</f>
        <v/>
      </c>
      <c r="I32" s="266" t="str">
        <f>IF(OR(L32="",M32=""),"",IF(L32="3",VLOOKUP(N32,'K% (Rede Convencional)'!$B$18:$H$29,5),(IF(L32="2",VLOOKUP(O32,'K% (Rede Convencional)'!$B$18:$H$29,6),(IF(L32="1",VLOOKUP(O32,'K% (Rede Convencional)'!$B$18:$H$29,7)))))))</f>
        <v/>
      </c>
      <c r="J32" s="266" t="str">
        <f>IF(OR(L32="",M32=""),"",IF(L32="3",VLOOKUP(N32,'K% (Rede Convencional)'!$B$18:$E$29,2),(IF(L32="2",VLOOKUP(O32,'K% (Rede Convencional)'!$B$18:$E$29,3),(IF(L32="1",VLOOKUP(O32,'K% (Rede Convencional)'!$B$18:$E$29,4)))))))</f>
        <v/>
      </c>
      <c r="K32" s="266" t="str">
        <f t="shared" si="4"/>
        <v/>
      </c>
      <c r="L32" s="49"/>
      <c r="M32" s="49"/>
      <c r="N32" s="81">
        <f t="shared" si="10"/>
        <v>0</v>
      </c>
      <c r="O32" s="82" t="str">
        <f>IF(M32="","",IF(M32="4 (4)","a",IF(OR(M32="2 (4)",M32="2 (2)"),VLOOKUP(M32,mT!$AF$21:$AG$22,2,FALSE),IF(OR(M32="1/0 (4)",M32="1/0 (2)"),VLOOKUP(M32,mT!$AF$24:$AG$25,2,FALSE),IF(OR(M32="4/0 (4)",M32="4/0 (2)",M32="4/0 (1/0)"),VLOOKUP(M32,mT!$AF$27:$AG$29,2,FALSE),IF(OR(M32="336,4 (4)",M32="336,4 (2)",M32="336,4 (1/0)",M32="336,4 (4/0)"),VLOOKUP(M32,mT!$AF$31:$AG$34,2,FALSE),""))))))</f>
        <v/>
      </c>
      <c r="P32" s="53"/>
      <c r="Q32" s="268" t="str">
        <f t="shared" si="5"/>
        <v/>
      </c>
      <c r="R32" s="268" t="str">
        <f>IF(Q32="","",SUM($Q$20:Q32))</f>
        <v/>
      </c>
      <c r="S32" s="268" t="str">
        <f t="shared" si="9"/>
        <v/>
      </c>
      <c r="T32" s="269" t="str">
        <f>IF(OR(N32="a",O32="a"),VLOOKUP("a",'Características dos Cabos'!$D$25:$L$29,9),IF(OR(N32="b",N32="c",O32="b",O32="c"),VLOOKUP("b",'Características dos Cabos'!$D$25:$L$29,9),IF(OR(N32="d",N32="e",O32="d",O32="e"),VLOOKUP("c",'Características dos Cabos'!$D$25:$L$29,9),IF(OR(N32="f",N32="g",N32="h",O32="f",O32="g",O32="h"),VLOOKUP("d",'Características dos Cabos'!$D$25:$L$29,9),IF(OR(N32="i",N32="j",N32="l",N32="m",O32="i",O33="j",O33="l",O33="m"),VLOOKUP("e",'Características dos Cabos'!$D$25:$L$29,9),"")))))</f>
        <v/>
      </c>
      <c r="U32" s="269" t="str">
        <f>IF(OR(N32="a",O32="a"),VLOOKUP("a",'Características dos Cabos'!$D$14:$K$18,8),IF(OR(N32="b",N32="c",O32="b",O32="c"),VLOOKUP("b",'Características dos Cabos'!$D$14:$K$18,8),IF(OR(N32="d",N32="e",O32="d",O32="e"),VLOOKUP("c",'Características dos Cabos'!$D$14:$K$18,8),IF(OR(N32="f",N32="g",N32="h",O32="f",O32="g",O32="h"),VLOOKUP("d",'Características dos Cabos'!$D$14:$K$18,8),IF(OR(N32="i",N32="j",N32="l",N32="m",O32="i",O33="j",O33="l",O33="m"),VLOOKUP("e",'Características dos Cabos'!$D$14:$K$18,8),"")))))</f>
        <v/>
      </c>
      <c r="V32" s="269" t="str">
        <f t="shared" si="6"/>
        <v/>
      </c>
      <c r="W32" s="268" t="str">
        <f t="shared" si="7"/>
        <v/>
      </c>
      <c r="X32" s="314" t="str">
        <f>IF(OR(N32="a",O32="a"),VLOOKUP("a",'Características dos Cabos'!$D$25:$L$29,3),IF(OR(N32="b",N32="c",O32="b",O32="c"),VLOOKUP("b",'Características dos Cabos'!$D$25:$L$29,3),IF(OR(N32="d",N32="e",O32="d",O32="e"),VLOOKUP("c",'Características dos Cabos'!$D$25:$L$29,3),IF(OR(N32="f",N32="g",N32="h",O32="f",O32="g",O32="h"),VLOOKUP("d",'Características dos Cabos'!$D$25:$L$29,3),IF(OR(N32="i",N32="j",N32="l",N32="m",O32="i",O32="j",O32="l",O32="m"),VLOOKUP("e",'Características dos Cabos'!$D$25:$L$29,3),"")))))</f>
        <v/>
      </c>
      <c r="Y32" s="314" t="str">
        <f>IF(OR(N32="a",O32="a"),VLOOKUP("a",'Características dos Cabos'!$D$14:$K$18,4),IF(OR(N32="b",N32="c",O32="b",O32="c"),VLOOKUP("b",'Características dos Cabos'!$D$14:$K$18,4),IF(OR(N32="d",N32="e",O32="d",O32="e"),VLOOKUP("c",'Características dos Cabos'!$D$14:$K$18,4),IF(OR(N32="f",N32="g",N32="h",O32="f",O32="g",O32="h"),VLOOKUP("d",'Características dos Cabos'!$D$14:$K$18,4),IF(OR(N32="i",N32="j",N32="l",N32="m",O32="i",O32="j",O32="l",O32="m"),VLOOKUP("e",'Características dos Cabos'!$D$14:$K$18,4),"")))))</f>
        <v/>
      </c>
      <c r="Z32" s="269" t="str">
        <f t="shared" si="8"/>
        <v/>
      </c>
      <c r="AA32" s="270" t="str">
        <f t="shared" si="0"/>
        <v/>
      </c>
      <c r="AB32" s="309"/>
      <c r="AC32" s="312">
        <f t="shared" si="1"/>
        <v>0</v>
      </c>
      <c r="AD32" s="312">
        <f t="shared" si="2"/>
        <v>0</v>
      </c>
      <c r="AE32" s="309">
        <f>SUM($P$32:P32)</f>
        <v>0</v>
      </c>
      <c r="AF32" s="260" t="s">
        <v>91</v>
      </c>
      <c r="AG32" s="261" t="s">
        <v>92</v>
      </c>
      <c r="AH32" s="257"/>
      <c r="AI32" s="261"/>
    </row>
    <row r="33" spans="1:35" ht="14.25" thickTop="1" thickBot="1">
      <c r="A33" s="2"/>
      <c r="B33" s="771"/>
      <c r="C33" s="62"/>
      <c r="D33" s="63"/>
      <c r="E33" s="64"/>
      <c r="F33" s="35" t="str">
        <f t="shared" si="3"/>
        <v/>
      </c>
      <c r="G33" s="53"/>
      <c r="H33" s="313" t="str">
        <f>IF(AND(E33="",G33=""),"",SUM(F33:$G$35))</f>
        <v/>
      </c>
      <c r="I33" s="266" t="str">
        <f>IF(OR(L33="",M33=""),"",IF(L33="3",VLOOKUP(N33,'K% (Rede Convencional)'!$B$18:$H$29,5),(IF(L33="2",VLOOKUP(O33,'K% (Rede Convencional)'!$B$18:$H$29,6),(IF(L33="1",VLOOKUP(O33,'K% (Rede Convencional)'!$B$18:$H$29,7)))))))</f>
        <v/>
      </c>
      <c r="J33" s="266" t="str">
        <f>IF(OR(L33="",M33=""),"",IF(L33="3",VLOOKUP(N33,'K% (Rede Convencional)'!$B$18:$E$29,2),(IF(L33="2",VLOOKUP(O33,'K% (Rede Convencional)'!$B$18:$E$29,3),(IF(L33="1",VLOOKUP(O33,'K% (Rede Convencional)'!$B$18:$E$29,4)))))))</f>
        <v/>
      </c>
      <c r="K33" s="266" t="str">
        <f t="shared" si="4"/>
        <v/>
      </c>
      <c r="L33" s="49"/>
      <c r="M33" s="49"/>
      <c r="N33" s="81">
        <f t="shared" si="10"/>
        <v>0</v>
      </c>
      <c r="O33" s="82" t="str">
        <f>IF(M33="","",IF(M33="4 (4)","a",IF(OR(M33="2 (4)",M33="2 (2)"),VLOOKUP(M33,mT!$AF$21:$AG$22,2,FALSE),IF(OR(M33="1/0 (4)",M33="1/0 (2)"),VLOOKUP(M33,mT!$AF$24:$AG$25,2,FALSE),IF(OR(M33="4/0 (4)",M33="4/0 (2)",M33="4/0 (1/0)"),VLOOKUP(M33,mT!$AF$27:$AG$29,2,FALSE),IF(OR(M33="336,4 (4)",M33="336,4 (2)",M33="336,4 (1/0)",M33="336,4 (4/0)"),VLOOKUP(M33,mT!$AF$31:$AG$34,2,FALSE),""))))))</f>
        <v/>
      </c>
      <c r="P33" s="53"/>
      <c r="Q33" s="268" t="str">
        <f t="shared" si="5"/>
        <v/>
      </c>
      <c r="R33" s="268" t="str">
        <f>IF(Q33="","",SUM($Q$20:Q33))</f>
        <v/>
      </c>
      <c r="S33" s="268" t="str">
        <f t="shared" si="9"/>
        <v/>
      </c>
      <c r="T33" s="269" t="str">
        <f>IF(OR(N33="a",O33="a"),VLOOKUP("a",'Características dos Cabos'!$D$25:$L$29,9),IF(OR(N33="b",N33="c",O33="b",O33="c"),VLOOKUP("b",'Características dos Cabos'!$D$25:$L$29,9),IF(OR(N33="d",N33="e",O33="d",O33="e"),VLOOKUP("c",'Características dos Cabos'!$D$25:$L$29,9),IF(OR(N33="f",N33="g",N33="h",O33="f",O33="g",O33="h"),VLOOKUP("d",'Características dos Cabos'!$D$25:$L$29,9),IF(OR(N33="i",N33="j",N33="l",N33="m",O33="i",O34="j",O34="l",O34="m"),VLOOKUP("e",'Características dos Cabos'!$D$25:$L$29,9),"")))))</f>
        <v/>
      </c>
      <c r="U33" s="269" t="str">
        <f>IF(OR(N33="a",O33="a"),VLOOKUP("a",'Características dos Cabos'!$D$14:$K$18,8),IF(OR(N33="b",N33="c",O33="b",O33="c"),VLOOKUP("b",'Características dos Cabos'!$D$14:$K$18,8),IF(OR(N33="d",N33="e",O33="d",O33="e"),VLOOKUP("c",'Características dos Cabos'!$D$14:$K$18,8),IF(OR(N33="f",N33="g",N33="h",O33="f",O33="g",O33="h"),VLOOKUP("d",'Características dos Cabos'!$D$14:$K$18,8),IF(OR(N33="i",N33="j",N33="l",N33="m",O33="i",O34="j",O34="l",O34="m"),VLOOKUP("e",'Características dos Cabos'!$D$14:$K$18,8),"")))))</f>
        <v/>
      </c>
      <c r="V33" s="269" t="str">
        <f t="shared" si="6"/>
        <v/>
      </c>
      <c r="W33" s="268" t="str">
        <f t="shared" si="7"/>
        <v/>
      </c>
      <c r="X33" s="314" t="str">
        <f>IF(OR(N33="a",O33="a"),VLOOKUP("a",'Características dos Cabos'!$D$25:$L$29,3),IF(OR(N33="b",N33="c",O33="b",O33="c"),VLOOKUP("b",'Características dos Cabos'!$D$25:$L$29,3),IF(OR(N33="d",N33="e",O33="d",O33="e"),VLOOKUP("c",'Características dos Cabos'!$D$25:$L$29,3),IF(OR(N33="f",N33="g",N33="h",O33="f",O33="g",O33="h"),VLOOKUP("d",'Características dos Cabos'!$D$25:$L$29,3),IF(OR(N33="i",N33="j",N33="l",N33="m",O33="i",O33="j",O33="l",O33="m"),VLOOKUP("e",'Características dos Cabos'!$D$25:$L$29,3),"")))))</f>
        <v/>
      </c>
      <c r="Y33" s="314" t="str">
        <f>IF(OR(N33="a",O33="a"),VLOOKUP("a",'Características dos Cabos'!$D$14:$K$18,4),IF(OR(N33="b",N33="c",O33="b",O33="c"),VLOOKUP("b",'Características dos Cabos'!$D$14:$K$18,4),IF(OR(N33="d",N33="e",O33="d",O33="e"),VLOOKUP("c",'Características dos Cabos'!$D$14:$K$18,4),IF(OR(N33="f",N33="g",N33="h",O33="f",O33="g",O33="h"),VLOOKUP("d",'Características dos Cabos'!$D$14:$K$18,4),IF(OR(N33="i",N33="j",N33="l",N33="m",O33="i",O33="j",O33="l",O33="m"),VLOOKUP("e",'Características dos Cabos'!$D$14:$K$18,4),"")))))</f>
        <v/>
      </c>
      <c r="Z33" s="269" t="str">
        <f t="shared" si="8"/>
        <v/>
      </c>
      <c r="AA33" s="270" t="str">
        <f t="shared" si="0"/>
        <v/>
      </c>
      <c r="AB33" s="309"/>
      <c r="AC33" s="312">
        <f t="shared" si="1"/>
        <v>0</v>
      </c>
      <c r="AD33" s="312">
        <f t="shared" si="2"/>
        <v>0</v>
      </c>
      <c r="AE33" s="309">
        <f>SUM($P$32:P33)</f>
        <v>0</v>
      </c>
      <c r="AF33" s="260" t="s">
        <v>93</v>
      </c>
      <c r="AG33" s="261" t="s">
        <v>94</v>
      </c>
      <c r="AH33" s="257"/>
      <c r="AI33" s="261"/>
    </row>
    <row r="34" spans="1:35" ht="14.25" thickTop="1" thickBot="1">
      <c r="A34" s="2"/>
      <c r="B34" s="771"/>
      <c r="C34" s="62"/>
      <c r="D34" s="63"/>
      <c r="E34" s="64"/>
      <c r="F34" s="35" t="str">
        <f t="shared" si="3"/>
        <v/>
      </c>
      <c r="G34" s="53"/>
      <c r="H34" s="313" t="str">
        <f>IF(AND(E34="",G34=""),"",SUM(F34:$G$35))</f>
        <v/>
      </c>
      <c r="I34" s="266" t="str">
        <f>IF(OR(L34="",M34=""),"",IF(L34="3",VLOOKUP(N34,'K% (Rede Convencional)'!$B$18:$H$29,5),(IF(L34="2",VLOOKUP(O34,'K% (Rede Convencional)'!$B$18:$H$29,6),(IF(L34="1",VLOOKUP(O34,'K% (Rede Convencional)'!$B$18:$H$29,7)))))))</f>
        <v/>
      </c>
      <c r="J34" s="266" t="str">
        <f>IF(OR(L34="",M34=""),"",IF(L34="3",VLOOKUP(N34,'K% (Rede Convencional)'!$B$18:$E$29,2),(IF(L34="2",VLOOKUP(O34,'K% (Rede Convencional)'!$B$18:$E$29,3),(IF(L34="1",VLOOKUP(O34,'K% (Rede Convencional)'!$B$18:$E$29,4)))))))</f>
        <v/>
      </c>
      <c r="K34" s="266" t="str">
        <f t="shared" si="4"/>
        <v/>
      </c>
      <c r="L34" s="49"/>
      <c r="M34" s="49"/>
      <c r="N34" s="81">
        <f t="shared" si="10"/>
        <v>0</v>
      </c>
      <c r="O34" s="82" t="str">
        <f>IF(M34="","",IF(M34="4 (4)","a",IF(OR(M34="2 (4)",M34="2 (2)"),VLOOKUP(M34,mT!$AF$21:$AG$22,2,FALSE),IF(OR(M34="1/0 (4)",M34="1/0 (2)"),VLOOKUP(M34,mT!$AF$24:$AG$25,2,FALSE),IF(OR(M34="4/0 (4)",M34="4/0 (2)",M34="4/0 (1/0)"),VLOOKUP(M34,mT!$AF$27:$AG$29,2,FALSE),IF(OR(M34="336,4 (4)",M34="336,4 (2)",M34="336,4 (1/0)",M34="336,4 (4/0)"),VLOOKUP(M34,mT!$AF$31:$AG$34,2,FALSE),""))))))</f>
        <v/>
      </c>
      <c r="P34" s="53"/>
      <c r="Q34" s="268" t="str">
        <f t="shared" si="5"/>
        <v/>
      </c>
      <c r="R34" s="268" t="str">
        <f>IF(Q34="","",SUM($Q$20:Q34))</f>
        <v/>
      </c>
      <c r="S34" s="268" t="str">
        <f t="shared" si="9"/>
        <v/>
      </c>
      <c r="T34" s="269" t="str">
        <f>IF(OR(N34="a",O34="a"),VLOOKUP("a",'Características dos Cabos'!$D$25:$L$29,9),IF(OR(N34="b",N34="c",O34="b",O34="c"),VLOOKUP("b",'Características dos Cabos'!$D$25:$L$29,9),IF(OR(N34="d",N34="e",O34="d",O34="e"),VLOOKUP("c",'Características dos Cabos'!$D$25:$L$29,9),IF(OR(N34="f",N34="g",N34="h",O34="f",O34="g",O34="h"),VLOOKUP("d",'Características dos Cabos'!$D$25:$L$29,9),IF(OR(N34="i",N34="j",N34="l",N34="m",O34="i",O35="j",O35="l",O35="m"),VLOOKUP("e",'Características dos Cabos'!$D$25:$L$29,9),"")))))</f>
        <v/>
      </c>
      <c r="U34" s="269" t="str">
        <f>IF(OR(N34="a",O34="a"),VLOOKUP("a",'Características dos Cabos'!$D$14:$K$18,8),IF(OR(N34="b",N34="c",O34="b",O34="c"),VLOOKUP("b",'Características dos Cabos'!$D$14:$K$18,8),IF(OR(N34="d",N34="e",O34="d",O34="e"),VLOOKUP("c",'Características dos Cabos'!$D$14:$K$18,8),IF(OR(N34="f",N34="g",N34="h",O34="f",O34="g",O34="h"),VLOOKUP("d",'Características dos Cabos'!$D$14:$K$18,8),IF(OR(N34="i",N34="j",N34="l",N34="m",O34="i",O35="j",O35="l",O35="m"),VLOOKUP("e",'Características dos Cabos'!$D$14:$K$18,8),"")))))</f>
        <v/>
      </c>
      <c r="V34" s="269" t="str">
        <f t="shared" si="6"/>
        <v/>
      </c>
      <c r="W34" s="268" t="str">
        <f t="shared" si="7"/>
        <v/>
      </c>
      <c r="X34" s="314" t="str">
        <f>IF(OR(N34="a",O34="a"),VLOOKUP("a",'Características dos Cabos'!$D$25:$L$29,3),IF(OR(N34="b",N34="c",O34="b",O34="c"),VLOOKUP("b",'Características dos Cabos'!$D$25:$L$29,3),IF(OR(N34="d",N34="e",O34="d",O34="e"),VLOOKUP("c",'Características dos Cabos'!$D$25:$L$29,3),IF(OR(N34="f",N34="g",N34="h",O34="f",O34="g",O34="h"),VLOOKUP("d",'Características dos Cabos'!$D$25:$L$29,3),IF(OR(N34="i",N34="j",N34="l",N34="m",O34="i",O34="j",O34="l",O34="m"),VLOOKUP("e",'Características dos Cabos'!$D$25:$L$29,3),"")))))</f>
        <v/>
      </c>
      <c r="Y34" s="314" t="str">
        <f>IF(OR(N34="a",O34="a"),VLOOKUP("a",'Características dos Cabos'!$D$14:$K$18,4),IF(OR(N34="b",N34="c",O34="b",O34="c"),VLOOKUP("b",'Características dos Cabos'!$D$14:$K$18,4),IF(OR(N34="d",N34="e",O34="d",O34="e"),VLOOKUP("c",'Características dos Cabos'!$D$14:$K$18,4),IF(OR(N34="f",N34="g",N34="h",O34="f",O34="g",O34="h"),VLOOKUP("d",'Características dos Cabos'!$D$14:$K$18,4),IF(OR(N34="i",N34="j",N34="l",N34="m",O34="i",O34="j",O34="l",O34="m"),VLOOKUP("e",'Características dos Cabos'!$D$14:$K$18,4),"")))))</f>
        <v/>
      </c>
      <c r="Z34" s="269" t="str">
        <f t="shared" si="8"/>
        <v/>
      </c>
      <c r="AA34" s="270" t="str">
        <f t="shared" si="0"/>
        <v/>
      </c>
      <c r="AB34" s="309"/>
      <c r="AC34" s="312">
        <f t="shared" si="1"/>
        <v>0</v>
      </c>
      <c r="AD34" s="312">
        <f t="shared" si="2"/>
        <v>0</v>
      </c>
      <c r="AE34" s="309">
        <f>SUM($P$32:P34)</f>
        <v>0</v>
      </c>
      <c r="AF34" s="283" t="s">
        <v>95</v>
      </c>
      <c r="AG34" s="284" t="s">
        <v>38</v>
      </c>
      <c r="AH34" s="285"/>
      <c r="AI34" s="284"/>
    </row>
    <row r="35" spans="1:31" ht="14.25" thickTop="1" thickBot="1">
      <c r="A35" s="2"/>
      <c r="B35" s="772"/>
      <c r="C35" s="65"/>
      <c r="D35" s="66"/>
      <c r="E35" s="67"/>
      <c r="F35" s="35" t="str">
        <f t="shared" si="3"/>
        <v/>
      </c>
      <c r="G35" s="54"/>
      <c r="H35" s="315" t="str">
        <f>IF(AND(E35="",G35=""),"",SUM(F35:$G$35))</f>
        <v/>
      </c>
      <c r="I35" s="287" t="str">
        <f>IF(OR(L35="",M35=""),"",IF(L35="3",VLOOKUP(N35,'K% (Rede Convencional)'!$B$18:$H$29,5),(IF(L35="2",VLOOKUP(O35,'K% (Rede Convencional)'!$B$18:$H$29,6),(IF(L35="1",VLOOKUP(O35,'K% (Rede Convencional)'!$B$18:$H$29,7)))))))</f>
        <v/>
      </c>
      <c r="J35" s="287" t="str">
        <f>IF(OR(L35="",M35=""),"",IF(L35="3",VLOOKUP(N35,'K% (Rede Convencional)'!$B$18:$E$29,2),(IF(L35="2",VLOOKUP(O35,'K% (Rede Convencional)'!$B$18:$E$29,3),(IF(L35="1",VLOOKUP(O35,'K% (Rede Convencional)'!$B$18:$E$29,4)))))))</f>
        <v/>
      </c>
      <c r="K35" s="287" t="str">
        <f t="shared" si="4"/>
        <v/>
      </c>
      <c r="L35" s="51"/>
      <c r="M35" s="51"/>
      <c r="N35" s="81"/>
      <c r="O35" s="82"/>
      <c r="P35" s="54"/>
      <c r="Q35" s="289" t="str">
        <f t="shared" si="5"/>
        <v/>
      </c>
      <c r="R35" s="289" t="str">
        <f>IF(Q35="","",SUM($Q$20:Q35))</f>
        <v/>
      </c>
      <c r="S35" s="289" t="str">
        <f t="shared" si="9"/>
        <v/>
      </c>
      <c r="T35" s="290" t="str">
        <f>IF(OR(N35="a",O35="a"),VLOOKUP("a",'Características dos Cabos'!$D$25:$L$29,9),IF(OR(N35="b",N35="c",O35="b",O35="c"),VLOOKUP("b",'Características dos Cabos'!$D$25:$L$29,9),IF(OR(N35="d",N35="e",O35="d",O35="e"),VLOOKUP("c",'Características dos Cabos'!$D$25:$L$29,9),IF(OR(N35="f",N35="g",N35="h",O35="f",O35="g",O35="h"),VLOOKUP("d",'Características dos Cabos'!$D$25:$L$29,9),IF(OR(N35="i",N35="j",N35="l",N35="m",O35="i",O36="j",O36="l",O36="m"),VLOOKUP("e",'Características dos Cabos'!$D$25:$L$29,9),"")))))</f>
        <v/>
      </c>
      <c r="U35" s="290" t="str">
        <f>IF(OR(N35="a",O35="a"),VLOOKUP("a",'Características dos Cabos'!$D$14:$K$18,8),IF(OR(N35="b",N35="c",O35="b",O35="c"),VLOOKUP("b",'Características dos Cabos'!$D$14:$K$18,8),IF(OR(N35="d",N35="e",O35="d",O35="e"),VLOOKUP("c",'Características dos Cabos'!$D$14:$K$18,8),IF(OR(N35="f",N35="g",N35="h",O35="f",O35="g",O35="h"),VLOOKUP("d",'Características dos Cabos'!$D$14:$K$18,8),IF(OR(N35="i",N35="j",N35="l",N35="m",O35="i",O36="j",O36="l",O36="m"),VLOOKUP("e",'Características dos Cabos'!$D$14:$K$18,8),"")))))</f>
        <v/>
      </c>
      <c r="V35" s="290" t="str">
        <f t="shared" si="6"/>
        <v/>
      </c>
      <c r="W35" s="289" t="str">
        <f t="shared" si="7"/>
        <v/>
      </c>
      <c r="X35" s="316" t="str">
        <f>IF(OR(N35="a",O35="a"),VLOOKUP("a",'Características dos Cabos'!$D$25:$L$29,3),IF(OR(N35="b",N35="c",O35="b",O35="c"),VLOOKUP("b",'Características dos Cabos'!$D$25:$L$29,3),IF(OR(N35="d",N35="e",O35="d",O35="e"),VLOOKUP("c",'Características dos Cabos'!$D$25:$L$29,3),IF(OR(N35="f",N35="g",N35="h",O35="f",O35="g",O35="h"),VLOOKUP("d",'Características dos Cabos'!$D$25:$L$29,3),IF(OR(N35="i",N35="j",N35="l",N35="m",O35="i",O35="j",O35="l",O35="m"),VLOOKUP("e",'Características dos Cabos'!$D$25:$L$29,3),"")))))</f>
        <v/>
      </c>
      <c r="Y35" s="316" t="str">
        <f>IF(OR(N35="a",O35="a"),VLOOKUP("a",'Características dos Cabos'!$D$14:$K$18,4),IF(OR(N35="b",N35="c",O35="b",O35="c"),VLOOKUP("b",'Características dos Cabos'!$D$14:$K$18,4),IF(OR(N35="d",N35="e",O35="d",O35="e"),VLOOKUP("c",'Características dos Cabos'!$D$14:$K$18,4),IF(OR(N35="f",N35="g",N35="h",O35="f",O35="g",O35="h"),VLOOKUP("d",'Características dos Cabos'!$D$14:$K$18,4),IF(OR(N35="i",N35="j",N35="l",N35="m",O35="i",O35="j",O35="l",O35="m"),VLOOKUP("e",'Características dos Cabos'!$D$14:$K$18,4),"")))))</f>
        <v/>
      </c>
      <c r="Z35" s="290" t="str">
        <f t="shared" si="8"/>
        <v/>
      </c>
      <c r="AA35" s="291" t="str">
        <f t="shared" si="0"/>
        <v/>
      </c>
      <c r="AB35" s="309"/>
      <c r="AC35" s="312">
        <f t="shared" si="1"/>
        <v>0</v>
      </c>
      <c r="AD35" s="312">
        <f t="shared" si="2"/>
        <v>0</v>
      </c>
      <c r="AE35" s="309">
        <f>SUM($P$32:P35)</f>
        <v>0</v>
      </c>
    </row>
    <row r="36" spans="1:31" ht="15" customHeight="1" thickTop="1" thickBot="1">
      <c r="A36" s="2"/>
      <c r="B36" s="2"/>
      <c r="C36" s="94"/>
      <c r="D36" s="94"/>
      <c r="E36" s="2"/>
      <c r="F36" s="264"/>
      <c r="G36" s="2"/>
      <c r="H36" s="317"/>
      <c r="I36" s="295"/>
      <c r="J36" s="295"/>
      <c r="K36" s="295"/>
      <c r="L36" s="2"/>
      <c r="M36" s="2"/>
      <c r="N36" s="318"/>
      <c r="O36" s="319"/>
      <c r="P36" s="2"/>
      <c r="Q36" s="297"/>
      <c r="R36" s="297"/>
      <c r="S36" s="297"/>
      <c r="T36" s="298"/>
      <c r="U36" s="298"/>
      <c r="V36" s="298"/>
      <c r="W36" s="297"/>
      <c r="X36" s="320"/>
      <c r="Y36" s="320"/>
      <c r="Z36" s="298"/>
      <c r="AA36" s="321"/>
      <c r="AB36" s="309"/>
      <c r="AC36" s="312"/>
      <c r="AD36" s="312"/>
      <c r="AE36" s="309"/>
    </row>
    <row r="37" spans="1:31" ht="14.25" thickTop="1" thickBot="1">
      <c r="A37" s="2"/>
      <c r="B37" s="768" t="s">
        <v>227</v>
      </c>
      <c r="C37" s="59"/>
      <c r="D37" s="60"/>
      <c r="E37" s="68"/>
      <c r="F37" s="35"/>
      <c r="G37" s="69"/>
      <c r="H37" s="310" t="str">
        <f>IF(AND(E37="",G37=""),"",SUM(F37:G40))</f>
        <v/>
      </c>
      <c r="I37" s="279" t="str">
        <f>IF(OR(L37="",M37=""),"",IF(L37="3",VLOOKUP(N37,'K% (Rede Convencional)'!$B$18:$H$29,5),(IF(L37="2",VLOOKUP(O37,'K% (Rede Convencional)'!$B$18:$H$29,6),(IF(L37="1",VLOOKUP(O37,'K% (Rede Convencional)'!$B$18:$H$29,7)))))))</f>
        <v/>
      </c>
      <c r="J37" s="279" t="str">
        <f>IF(OR(L37="",M37=""),"",IF(L37="3",VLOOKUP(N37,'K% (Rede Convencional)'!$B$18:$E$29,2),(IF(L37="2",VLOOKUP(O37,'K% (Rede Convencional)'!$B$18:$E$29,3),(IF(L37="1",VLOOKUP(O37,'K% (Rede Convencional)'!$B$18:$E$29,4)))))))</f>
        <v/>
      </c>
      <c r="K37" s="279" t="str">
        <f t="shared" si="4"/>
        <v/>
      </c>
      <c r="L37" s="50"/>
      <c r="M37" s="50"/>
      <c r="N37" s="81"/>
      <c r="O37" s="82"/>
      <c r="P37" s="69"/>
      <c r="Q37" s="280" t="str">
        <f t="shared" si="5"/>
        <v/>
      </c>
      <c r="R37" s="280" t="str">
        <f>IF(Q37="","",SUM($Q$20:Q37))</f>
        <v/>
      </c>
      <c r="S37" s="280" t="str">
        <f t="shared" si="9"/>
        <v/>
      </c>
      <c r="T37" s="281" t="str">
        <f>IF(OR(N37="a",O37="a"),VLOOKUP("a",'Características dos Cabos'!$D$25:$L$29,9),IF(OR(N37="b",N37="c",O37="b",O37="c"),VLOOKUP("b",'Características dos Cabos'!$D$25:$L$29,9),IF(OR(N37="d",N37="e",O37="d",O37="e"),VLOOKUP("c",'Características dos Cabos'!$D$25:$L$29,9),IF(OR(N37="f",N37="g",N37="h",O37="f",O37="g",O37="h"),VLOOKUP("d",'Características dos Cabos'!$D$25:$L$29,9),IF(OR(N37="i",N37="j",N37="l",N37="m",O37="i",O38="j",O38="l",O38="m"),VLOOKUP("e",'Características dos Cabos'!$D$25:$L$29,9),"")))))</f>
        <v/>
      </c>
      <c r="U37" s="281" t="str">
        <f>IF(OR(N37="a",O37="a"),VLOOKUP("a",'Características dos Cabos'!$D$14:$K$18,8),IF(OR(N37="b",N37="c",O37="b",O37="c"),VLOOKUP("b",'Características dos Cabos'!$D$14:$K$18,8),IF(OR(N37="d",N37="e",O37="d",O37="e"),VLOOKUP("c",'Características dos Cabos'!$D$14:$K$18,8),IF(OR(N37="f",N37="g",N37="h",O37="f",O37="g",O37="h"),VLOOKUP("d",'Características dos Cabos'!$D$14:$K$18,8),IF(OR(N37="i",N37="j",N37="l",N37="m",O37="i",O38="j",O38="l",O38="m"),VLOOKUP("e",'Características dos Cabos'!$D$14:$K$18,8),"")))))</f>
        <v/>
      </c>
      <c r="V37" s="281" t="str">
        <f t="shared" si="6"/>
        <v/>
      </c>
      <c r="W37" s="280" t="str">
        <f t="shared" si="7"/>
        <v/>
      </c>
      <c r="X37" s="311" t="str">
        <f>IF(OR(N37="a",O37="a"),VLOOKUP("a",'Características dos Cabos'!$D$25:$L$29,3),IF(OR(N37="b",N37="c",O37="b",O37="c"),VLOOKUP("b",'Características dos Cabos'!$D$25:$L$29,3),IF(OR(N37="d",N37="e",O37="d",O37="e"),VLOOKUP("c",'Características dos Cabos'!$D$25:$L$29,3),IF(OR(N37="f",N37="g",N37="h",O37="f",O37="g",O37="h"),VLOOKUP("d",'Características dos Cabos'!$D$25:$L$29,3),IF(OR(N37="i",N37="j",N37="l",N37="m",O37="i",O37="j",O37="l",O37="m"),VLOOKUP("e",'Características dos Cabos'!$D$25:$L$29,3),"")))))</f>
        <v/>
      </c>
      <c r="Y37" s="311" t="str">
        <f>IF(OR(N37="a",O37="a"),VLOOKUP("a",'Características dos Cabos'!$D$14:$K$18,4),IF(OR(N37="b",N37="c",O37="b",O37="c"),VLOOKUP("b",'Características dos Cabos'!$D$14:$K$18,4),IF(OR(N37="d",N37="e",O37="d",O37="e"),VLOOKUP("c",'Características dos Cabos'!$D$14:$K$18,4),IF(OR(N37="f",N37="g",N37="h",O37="f",O37="g",O37="h"),VLOOKUP("d",'Características dos Cabos'!$D$14:$K$18,4),IF(OR(N37="i",N37="j",N37="l",N37="m",O37="i",O37="j",O37="l",O37="m"),VLOOKUP("e",'Características dos Cabos'!$D$14:$K$18,4),"")))))</f>
        <v/>
      </c>
      <c r="Z37" s="281" t="str">
        <f t="shared" si="8"/>
        <v/>
      </c>
      <c r="AA37" s="282" t="str">
        <f t="shared" si="11" ref="AA37:AA52">IF(OR(P37="",$G$16="",H37="",N37=""),"",IF(L37="3",3*$K$14*Z37*P37*((S37)^2)*8.76,IF(L37="2",2*$K$14*Z37*P37*((S37)^2)*8.76,IF(L37="1",$K$14*Z37*P37*((S37)^2)*8.76))))</f>
        <v/>
      </c>
      <c r="AB37" s="455" t="e">
        <f>VLOOKUP(C37,$D$21:$R$35,12,FALSE)</f>
        <v>#N/A</v>
      </c>
      <c r="AC37" s="312">
        <f t="shared" si="12" ref="AC37:AC52">D37</f>
        <v>0</v>
      </c>
      <c r="AD37" s="312">
        <f t="shared" si="13" ref="AD37:AD52">M37</f>
        <v>0</v>
      </c>
      <c r="AE37" s="309"/>
    </row>
    <row r="38" spans="1:31" ht="13.5" customHeight="1" thickTop="1" thickBot="1">
      <c r="A38" s="2"/>
      <c r="B38" s="769"/>
      <c r="C38" s="70"/>
      <c r="D38" s="71"/>
      <c r="E38" s="72"/>
      <c r="F38" s="35"/>
      <c r="G38" s="55"/>
      <c r="H38" s="313" t="str">
        <f>IF(AND(E38="",G38=""),"",SUM(F38:G40))</f>
        <v/>
      </c>
      <c r="I38" s="266" t="str">
        <f>IF(OR(L38="",M38=""),"",IF(L38="3",VLOOKUP(N38,'K% (Rede Convencional)'!$B$18:$H$29,5),(IF(L38="2",VLOOKUP(O38,'K% (Rede Convencional)'!$B$18:$H$29,6),(IF(L38="1",VLOOKUP(O38,'K% (Rede Convencional)'!$B$18:$H$29,7)))))))</f>
        <v/>
      </c>
      <c r="J38" s="266" t="str">
        <f>IF(OR(L38="",M38=""),"",IF(L38="3",VLOOKUP(N38,'K% (Rede Convencional)'!$B$18:$E$29,2),(IF(L38="2",VLOOKUP(O38,'K% (Rede Convencional)'!$B$18:$E$29,3),(IF(L38="1",VLOOKUP(O38,'K% (Rede Convencional)'!$B$18:$E$29,4)))))))</f>
        <v/>
      </c>
      <c r="K38" s="266" t="str">
        <f t="shared" si="4"/>
        <v/>
      </c>
      <c r="L38" s="83"/>
      <c r="M38" s="83"/>
      <c r="N38" s="81"/>
      <c r="O38" s="82"/>
      <c r="P38" s="55"/>
      <c r="Q38" s="268" t="str">
        <f t="shared" si="5"/>
        <v/>
      </c>
      <c r="R38" s="268" t="str">
        <f>IF(Q38="","",SUM($Q$20:Q38))</f>
        <v/>
      </c>
      <c r="S38" s="268" t="str">
        <f t="shared" si="9"/>
        <v/>
      </c>
      <c r="T38" s="269" t="str">
        <f>IF(OR(N38="a",O38="a"),VLOOKUP("a",'Características dos Cabos'!$D$25:$L$29,9),IF(OR(N38="b",N38="c",O38="b",O38="c"),VLOOKUP("b",'Características dos Cabos'!$D$25:$L$29,9),IF(OR(N38="d",N38="e",O38="d",O38="e"),VLOOKUP("c",'Características dos Cabos'!$D$25:$L$29,9),IF(OR(N38="f",N38="g",N38="h",O38="f",O38="g",O38="h"),VLOOKUP("d",'Características dos Cabos'!$D$25:$L$29,9),IF(OR(N38="i",N38="j",N38="l",N38="m",O38="i",O39="j",O39="l",O39="m"),VLOOKUP("e",'Características dos Cabos'!$D$25:$L$29,9),"")))))</f>
        <v/>
      </c>
      <c r="U38" s="269" t="str">
        <f>IF(OR(N38="a",O38="a"),VLOOKUP("a",'Características dos Cabos'!$D$14:$K$18,8),IF(OR(N38="b",N38="c",O38="b",O38="c"),VLOOKUP("b",'Características dos Cabos'!$D$14:$K$18,8),IF(OR(N38="d",N38="e",O38="d",O38="e"),VLOOKUP("c",'Características dos Cabos'!$D$14:$K$18,8),IF(OR(N38="f",N38="g",N38="h",O38="f",O38="g",O38="h"),VLOOKUP("d",'Características dos Cabos'!$D$14:$K$18,8),IF(OR(N38="i",N38="j",N38="l",N38="m",O38="i",O39="j",O39="l",O39="m"),VLOOKUP("e",'Características dos Cabos'!$D$14:$K$18,8),"")))))</f>
        <v/>
      </c>
      <c r="V38" s="269" t="str">
        <f t="shared" si="6"/>
        <v/>
      </c>
      <c r="W38" s="268" t="str">
        <f t="shared" si="7"/>
        <v/>
      </c>
      <c r="X38" s="314" t="str">
        <f>IF(OR(N38="a",O38="a"),VLOOKUP("a",'Características dos Cabos'!$D$25:$L$29,3),IF(OR(N38="b",N38="c",O38="b",O38="c"),VLOOKUP("b",'Características dos Cabos'!$D$25:$L$29,3),IF(OR(N38="d",N38="e",O38="d",O38="e"),VLOOKUP("c",'Características dos Cabos'!$D$25:$L$29,3),IF(OR(N38="f",N38="g",N38="h",O38="f",O38="g",O38="h"),VLOOKUP("d",'Características dos Cabos'!$D$25:$L$29,3),IF(OR(N38="i",N38="j",N38="l",N38="m",O38="i",O38="j",O38="l",O38="m"),VLOOKUP("e",'Características dos Cabos'!$D$25:$L$29,3),"")))))</f>
        <v/>
      </c>
      <c r="Y38" s="314" t="str">
        <f>IF(OR(N38="a",O38="a"),VLOOKUP("a",'Características dos Cabos'!$D$14:$K$18,4),IF(OR(N38="b",N38="c",O38="b",O38="c"),VLOOKUP("b",'Características dos Cabos'!$D$14:$K$18,4),IF(OR(N38="d",N38="e",O38="d",O38="e"),VLOOKUP("c",'Características dos Cabos'!$D$14:$K$18,4),IF(OR(N38="f",N38="g",N38="h",O38="f",O38="g",O38="h"),VLOOKUP("d",'Características dos Cabos'!$D$14:$K$18,4),IF(OR(N38="i",N38="j",N38="l",N38="m",O38="i",O38="j",O38="l",O38="m"),VLOOKUP("e",'Características dos Cabos'!$D$14:$K$18,4),"")))))</f>
        <v/>
      </c>
      <c r="Z38" s="269" t="str">
        <f t="shared" si="8"/>
        <v/>
      </c>
      <c r="AA38" s="270" t="str">
        <f t="shared" si="11"/>
        <v/>
      </c>
      <c r="AB38" s="309"/>
      <c r="AC38" s="312">
        <f t="shared" si="12"/>
        <v>0</v>
      </c>
      <c r="AD38" s="312">
        <f t="shared" si="13"/>
        <v>0</v>
      </c>
      <c r="AE38" s="309"/>
    </row>
    <row r="39" spans="1:31" ht="13.5" customHeight="1" thickTop="1" thickBot="1">
      <c r="A39" s="2"/>
      <c r="B39" s="769"/>
      <c r="C39" s="70"/>
      <c r="D39" s="71"/>
      <c r="E39" s="72"/>
      <c r="F39" s="35"/>
      <c r="G39" s="55"/>
      <c r="H39" s="313" t="str">
        <f>IF(AND(E39="",G39=""),"",SUM(F39:G40))</f>
        <v/>
      </c>
      <c r="I39" s="266" t="str">
        <f>IF(OR(L39="",M39=""),"",IF(L39="3",VLOOKUP(N39,'K% (Rede Convencional)'!$B$18:$H$29,5),(IF(L39="2",VLOOKUP(O39,'K% (Rede Convencional)'!$B$18:$H$29,6),(IF(L39="1",VLOOKUP(O39,'K% (Rede Convencional)'!$B$18:$H$29,7)))))))</f>
        <v/>
      </c>
      <c r="J39" s="266" t="str">
        <f>IF(OR(L39="",M39=""),"",IF(L39="3",VLOOKUP(N39,'K% (Rede Convencional)'!$B$18:$E$29,2),(IF(L39="2",VLOOKUP(O39,'K% (Rede Convencional)'!$B$18:$E$29,3),(IF(L39="1",VLOOKUP(O39,'K% (Rede Convencional)'!$B$18:$E$29,4)))))))</f>
        <v/>
      </c>
      <c r="K39" s="266" t="str">
        <f t="shared" si="4"/>
        <v/>
      </c>
      <c r="L39" s="83"/>
      <c r="M39" s="83"/>
      <c r="N39" s="81"/>
      <c r="O39" s="82"/>
      <c r="P39" s="55"/>
      <c r="Q39" s="268" t="str">
        <f t="shared" si="5"/>
        <v/>
      </c>
      <c r="R39" s="268" t="str">
        <f>IF(Q39="","",SUM($Q$20:Q39))</f>
        <v/>
      </c>
      <c r="S39" s="268" t="str">
        <f t="shared" si="9"/>
        <v/>
      </c>
      <c r="T39" s="269" t="str">
        <f>IF(OR(N39="a",O39="a"),VLOOKUP("a",'Características dos Cabos'!$D$25:$L$29,9),IF(OR(N39="b",N39="c",O39="b",O39="c"),VLOOKUP("b",'Características dos Cabos'!$D$25:$L$29,9),IF(OR(N39="d",N39="e",O39="d",O39="e"),VLOOKUP("c",'Características dos Cabos'!$D$25:$L$29,9),IF(OR(N39="f",N39="g",N39="h",O39="f",O39="g",O39="h"),VLOOKUP("d",'Características dos Cabos'!$D$25:$L$29,9),IF(OR(N39="i",N39="j",N39="l",N39="m",O39="i",O40="j",O40="l",O40="m"),VLOOKUP("e",'Características dos Cabos'!$D$25:$L$29,9),"")))))</f>
        <v/>
      </c>
      <c r="U39" s="269" t="str">
        <f>IF(OR(N39="a",O39="a"),VLOOKUP("a",'Características dos Cabos'!$D$14:$K$18,8),IF(OR(N39="b",N39="c",O39="b",O39="c"),VLOOKUP("b",'Características dos Cabos'!$D$14:$K$18,8),IF(OR(N39="d",N39="e",O39="d",O39="e"),VLOOKUP("c",'Características dos Cabos'!$D$14:$K$18,8),IF(OR(N39="f",N39="g",N39="h",O39="f",O39="g",O39="h"),VLOOKUP("d",'Características dos Cabos'!$D$14:$K$18,8),IF(OR(N39="i",N39="j",N39="l",N39="m",O39="i",O40="j",O40="l",O40="m"),VLOOKUP("e",'Características dos Cabos'!$D$14:$K$18,8),"")))))</f>
        <v/>
      </c>
      <c r="V39" s="269" t="str">
        <f t="shared" si="6"/>
        <v/>
      </c>
      <c r="W39" s="268" t="str">
        <f t="shared" si="7"/>
        <v/>
      </c>
      <c r="X39" s="314" t="str">
        <f>IF(OR(N39="a",O39="a"),VLOOKUP("a",'Características dos Cabos'!$D$25:$L$29,3),IF(OR(N39="b",N39="c",O39="b",O39="c"),VLOOKUP("b",'Características dos Cabos'!$D$25:$L$29,3),IF(OR(N39="d",N39="e",O39="d",O39="e"),VLOOKUP("c",'Características dos Cabos'!$D$25:$L$29,3),IF(OR(N39="f",N39="g",N39="h",O39="f",O39="g",O39="h"),VLOOKUP("d",'Características dos Cabos'!$D$25:$L$29,3),IF(OR(N39="i",N39="j",N39="l",N39="m",O39="i",O39="j",O39="l",O39="m"),VLOOKUP("e",'Características dos Cabos'!$D$25:$L$29,3),"")))))</f>
        <v/>
      </c>
      <c r="Y39" s="314" t="str">
        <f>IF(OR(N39="a",O39="a"),VLOOKUP("a",'Características dos Cabos'!$D$14:$K$18,4),IF(OR(N39="b",N39="c",O39="b",O39="c"),VLOOKUP("b",'Características dos Cabos'!$D$14:$K$18,4),IF(OR(N39="d",N39="e",O39="d",O39="e"),VLOOKUP("c",'Características dos Cabos'!$D$14:$K$18,4),IF(OR(N39="f",N39="g",N39="h",O39="f",O39="g",O39="h"),VLOOKUP("d",'Características dos Cabos'!$D$14:$K$18,4),IF(OR(N39="i",N39="j",N39="l",N39="m",O39="i",O39="j",O39="l",O39="m"),VLOOKUP("e",'Características dos Cabos'!$D$14:$K$18,4),"")))))</f>
        <v/>
      </c>
      <c r="Z39" s="269" t="str">
        <f t="shared" si="8"/>
        <v/>
      </c>
      <c r="AA39" s="270" t="str">
        <f t="shared" si="11"/>
        <v/>
      </c>
      <c r="AB39" s="309"/>
      <c r="AC39" s="312">
        <f t="shared" si="12"/>
        <v>0</v>
      </c>
      <c r="AD39" s="312">
        <f t="shared" si="13"/>
        <v>0</v>
      </c>
      <c r="AE39" s="309"/>
    </row>
    <row r="40" spans="1:31" ht="14.25" thickTop="1" thickBot="1">
      <c r="A40" s="2"/>
      <c r="B40" s="769"/>
      <c r="C40" s="73"/>
      <c r="D40" s="74"/>
      <c r="E40" s="75"/>
      <c r="F40" s="35"/>
      <c r="G40" s="56"/>
      <c r="H40" s="315" t="str">
        <f>IF(AND(E40="",G40=""),"",SUM(F40:G40))</f>
        <v/>
      </c>
      <c r="I40" s="287" t="str">
        <f>IF(OR(L40="",M40=""),"",IF(L40="3",VLOOKUP(N40,'K% (Rede Convencional)'!$B$18:$H$29,5),(IF(L40="2",VLOOKUP(O40,'K% (Rede Convencional)'!$B$18:$H$29,6),(IF(L40="1",VLOOKUP(O40,'K% (Rede Convencional)'!$B$18:$H$29,7)))))))</f>
        <v/>
      </c>
      <c r="J40" s="287" t="str">
        <f>IF(OR(L40="",M40=""),"",IF(L40="3",VLOOKUP(N40,'K% (Rede Convencional)'!$B$18:$E$29,2),(IF(L40="2",VLOOKUP(O40,'K% (Rede Convencional)'!$B$18:$E$29,3),(IF(L40="1",VLOOKUP(O40,'K% (Rede Convencional)'!$B$18:$E$29,4)))))))</f>
        <v/>
      </c>
      <c r="K40" s="287" t="str">
        <f t="shared" si="4"/>
        <v/>
      </c>
      <c r="L40" s="84"/>
      <c r="M40" s="84"/>
      <c r="N40" s="81">
        <f t="shared" si="10"/>
        <v>0</v>
      </c>
      <c r="O40" s="82" t="str">
        <f>IF(M40="","",IF(M40="4 (4)","a",IF(OR(M40="2 (4)",M40="2 (2)"),VLOOKUP(M40,mT!$AF$21:$AG$22,2,FALSE),IF(OR(M40="1/0 (4)",M40="1/0 (2)"),VLOOKUP(M40,mT!$AF$24:$AG$25,2,FALSE),IF(OR(M40="4/0 (4)",M40="4/0 (2)",M40="4/0 (1/0)"),VLOOKUP(M40,mT!$AF$27:$AG$29,2,FALSE),IF(OR(M40="336,4 (4)",M40="336,4 (2)",M40="336,4 (1/0)",M40="336,4 (4/0)"),VLOOKUP(M40,mT!$AF$31:$AG$34,2,FALSE),""))))))</f>
        <v/>
      </c>
      <c r="P40" s="56"/>
      <c r="Q40" s="289" t="str">
        <f t="shared" si="5"/>
        <v/>
      </c>
      <c r="R40" s="289" t="str">
        <f>IF(Q40="","",SUM($Q$20:Q40))</f>
        <v/>
      </c>
      <c r="S40" s="289" t="str">
        <f t="shared" si="9"/>
        <v/>
      </c>
      <c r="T40" s="290" t="str">
        <f>IF(OR(N40="a",O40="a"),VLOOKUP("a",'Características dos Cabos'!$D$25:$L$29,9),IF(OR(N40="b",N40="c",O40="b",O40="c"),VLOOKUP("b",'Características dos Cabos'!$D$25:$L$29,9),IF(OR(N40="d",N40="e",O40="d",O40="e"),VLOOKUP("c",'Características dos Cabos'!$D$25:$L$29,9),IF(OR(N40="f",N40="g",N40="h",O40="f",O40="g",O40="h"),VLOOKUP("d",'Características dos Cabos'!$D$25:$L$29,9),IF(OR(N40="i",N40="j",N40="l",N40="m",O40="i",O41="j",O41="l",O41="m"),VLOOKUP("e",'Características dos Cabos'!$D$25:$L$29,9),"")))))</f>
        <v/>
      </c>
      <c r="U40" s="290" t="str">
        <f>IF(OR(N40="a",O40="a"),VLOOKUP("a",'Características dos Cabos'!$D$14:$K$18,8),IF(OR(N40="b",N40="c",O40="b",O40="c"),VLOOKUP("b",'Características dos Cabos'!$D$14:$K$18,8),IF(OR(N40="d",N40="e",O40="d",O40="e"),VLOOKUP("c",'Características dos Cabos'!$D$14:$K$18,8),IF(OR(N40="f",N40="g",N40="h",O40="f",O40="g",O40="h"),VLOOKUP("d",'Características dos Cabos'!$D$14:$K$18,8),IF(OR(N40="i",N40="j",N40="l",N40="m",O40="i",O41="j",O41="l",O41="m"),VLOOKUP("e",'Características dos Cabos'!$D$14:$K$18,8),"")))))</f>
        <v/>
      </c>
      <c r="V40" s="290" t="str">
        <f t="shared" si="6"/>
        <v/>
      </c>
      <c r="W40" s="289" t="str">
        <f t="shared" si="7"/>
        <v/>
      </c>
      <c r="X40" s="316" t="str">
        <f>IF(OR(N40="a",O40="a"),VLOOKUP("a",'Características dos Cabos'!$D$25:$L$29,3),IF(OR(N40="b",N40="c",O40="b",O40="c"),VLOOKUP("b",'Características dos Cabos'!$D$25:$L$29,3),IF(OR(N40="d",N40="e",O40="d",O40="e"),VLOOKUP("c",'Características dos Cabos'!$D$25:$L$29,3),IF(OR(N40="f",N40="g",N40="h",O40="f",O40="g",O40="h"),VLOOKUP("d",'Características dos Cabos'!$D$25:$L$29,3),IF(OR(N40="i",N40="j",N40="l",N40="m",O40="i",O40="j",O40="l",O40="m"),VLOOKUP("e",'Características dos Cabos'!$D$25:$L$29,3),"")))))</f>
        <v/>
      </c>
      <c r="Y40" s="316" t="str">
        <f>IF(OR(N40="a",O40="a"),VLOOKUP("a",'Características dos Cabos'!$D$14:$K$18,4),IF(OR(N40="b",N40="c",O40="b",O40="c"),VLOOKUP("b",'Características dos Cabos'!$D$14:$K$18,4),IF(OR(N40="d",N40="e",O40="d",O40="e"),VLOOKUP("c",'Características dos Cabos'!$D$14:$K$18,4),IF(OR(N40="f",N40="g",N40="h",O40="f",O40="g",O40="h"),VLOOKUP("d",'Características dos Cabos'!$D$14:$K$18,4),IF(OR(N40="i",N40="j",N40="l",N40="m",O40="i",O40="j",O40="l",O40="m"),VLOOKUP("e",'Características dos Cabos'!$D$14:$K$18,4),"")))))</f>
        <v/>
      </c>
      <c r="Z40" s="290" t="str">
        <f t="shared" si="8"/>
        <v/>
      </c>
      <c r="AA40" s="291" t="str">
        <f t="shared" si="11"/>
        <v/>
      </c>
      <c r="AB40" s="309"/>
      <c r="AC40" s="312">
        <f t="shared" si="12"/>
        <v>0</v>
      </c>
      <c r="AD40" s="312">
        <f t="shared" si="13"/>
        <v>0</v>
      </c>
      <c r="AE40" s="309"/>
    </row>
    <row r="41" spans="1:31" ht="14.25" customHeight="1" thickTop="1" thickBot="1">
      <c r="A41" s="2"/>
      <c r="B41" s="768" t="s">
        <v>228</v>
      </c>
      <c r="C41" s="59"/>
      <c r="D41" s="76"/>
      <c r="E41" s="68"/>
      <c r="F41" s="35"/>
      <c r="G41" s="69"/>
      <c r="H41" s="310" t="str">
        <f>IF(AND(E41="",G41=""),"",SUM(F41:G44))</f>
        <v/>
      </c>
      <c r="I41" s="279" t="str">
        <f>IF(OR(L41="",M41=""),"",IF(L41="3",VLOOKUP(N41,'K% (Rede Convencional)'!$B$18:$H$29,5),(IF(L41="2",VLOOKUP(O41,'K% (Rede Convencional)'!$B$18:$H$29,6),(IF(L41="1",VLOOKUP(O41,'K% (Rede Convencional)'!$B$18:$H$29,7)))))))</f>
        <v/>
      </c>
      <c r="J41" s="279" t="str">
        <f>IF(OR(L41="",M41=""),"",IF(L41="3",VLOOKUP(N41,'K% (Rede Convencional)'!$B$18:$E$29,2),(IF(L41="2",VLOOKUP(O41,'K% (Rede Convencional)'!$B$18:$E$29,3),(IF(L41="1",VLOOKUP(O41,'K% (Rede Convencional)'!$B$18:$E$29,4)))))))</f>
        <v/>
      </c>
      <c r="K41" s="279" t="str">
        <f t="shared" si="4"/>
        <v/>
      </c>
      <c r="L41" s="85"/>
      <c r="M41" s="85"/>
      <c r="N41" s="81">
        <f t="shared" si="10"/>
        <v>0</v>
      </c>
      <c r="O41" s="82" t="str">
        <f>IF(M41="","",IF(M41="4 (4)","a",IF(OR(M41="2 (4)",M41="2 (2)"),VLOOKUP(M41,mT!$AF$21:$AG$22,2,FALSE),IF(OR(M41="1/0 (4)",M41="1/0 (2)"),VLOOKUP(M41,mT!$AF$24:$AG$25,2,FALSE),IF(OR(M41="4/0 (4)",M41="4/0 (2)",M41="4/0 (1/0)"),VLOOKUP(M41,mT!$AF$27:$AG$29,2,FALSE),IF(OR(M41="336,4 (4)",M41="336,4 (2)",M41="336,4 (1/0)",M41="336,4 (4/0)"),VLOOKUP(M41,mT!$AF$31:$AG$34,2,FALSE),""))))))</f>
        <v/>
      </c>
      <c r="P41" s="69"/>
      <c r="Q41" s="280" t="str">
        <f t="shared" si="5"/>
        <v/>
      </c>
      <c r="R41" s="280" t="str">
        <f>IF(Q41="","",SUM($Q$20:Q41))</f>
        <v/>
      </c>
      <c r="S41" s="280" t="str">
        <f t="shared" si="9"/>
        <v/>
      </c>
      <c r="T41" s="281" t="str">
        <f>IF(OR(N41="a",O41="a"),VLOOKUP("a",'Características dos Cabos'!$D$25:$L$29,9),IF(OR(N41="b",N41="c",O41="b",O41="c"),VLOOKUP("b",'Características dos Cabos'!$D$25:$L$29,9),IF(OR(N41="d",N41="e",O41="d",O41="e"),VLOOKUP("c",'Características dos Cabos'!$D$25:$L$29,9),IF(OR(N41="f",N41="g",N41="h",O41="f",O41="g",O41="h"),VLOOKUP("d",'Características dos Cabos'!$D$25:$L$29,9),IF(OR(N41="i",N41="j",N41="l",N41="m",O41="i",O42="j",O42="l",O42="m"),VLOOKUP("e",'Características dos Cabos'!$D$25:$L$29,9),"")))))</f>
        <v/>
      </c>
      <c r="U41" s="281" t="str">
        <f>IF(OR(N41="a",O41="a"),VLOOKUP("a",'Características dos Cabos'!$D$14:$K$18,8),IF(OR(N41="b",N41="c",O41="b",O41="c"),VLOOKUP("b",'Características dos Cabos'!$D$14:$K$18,8),IF(OR(N41="d",N41="e",O41="d",O41="e"),VLOOKUP("c",'Características dos Cabos'!$D$14:$K$18,8),IF(OR(N41="f",N41="g",N41="h",O41="f",O41="g",O41="h"),VLOOKUP("d",'Características dos Cabos'!$D$14:$K$18,8),IF(OR(N41="i",N41="j",N41="l",N41="m",O41="i",O42="j",O42="l",O42="m"),VLOOKUP("e",'Características dos Cabos'!$D$14:$K$18,8),"")))))</f>
        <v/>
      </c>
      <c r="V41" s="281" t="str">
        <f t="shared" si="6"/>
        <v/>
      </c>
      <c r="W41" s="280" t="str">
        <f t="shared" si="7"/>
        <v/>
      </c>
      <c r="X41" s="311" t="str">
        <f>IF(OR(N41="a",O41="a"),VLOOKUP("a",'Características dos Cabos'!$D$25:$L$29,3),IF(OR(N41="b",N41="c",O41="b",O41="c"),VLOOKUP("b",'Características dos Cabos'!$D$25:$L$29,3),IF(OR(N41="d",N41="e",O41="d",O41="e"),VLOOKUP("c",'Características dos Cabos'!$D$25:$L$29,3),IF(OR(N41="f",N41="g",N41="h",O41="f",O41="g",O41="h"),VLOOKUP("d",'Características dos Cabos'!$D$25:$L$29,3),IF(OR(N41="i",N41="j",N41="l",N41="m",O41="i",O41="j",O41="l",O41="m"),VLOOKUP("e",'Características dos Cabos'!$D$25:$L$29,3),"")))))</f>
        <v/>
      </c>
      <c r="Y41" s="311" t="str">
        <f>IF(OR(N41="a",O41="a"),VLOOKUP("a",'Características dos Cabos'!$D$14:$K$18,4),IF(OR(N41="b",N41="c",O41="b",O41="c"),VLOOKUP("b",'Características dos Cabos'!$D$14:$K$18,4),IF(OR(N41="d",N41="e",O41="d",O41="e"),VLOOKUP("c",'Características dos Cabos'!$D$14:$K$18,4),IF(OR(N41="f",N41="g",N41="h",O41="f",O41="g",O41="h"),VLOOKUP("d",'Características dos Cabos'!$D$14:$K$18,4),IF(OR(N41="i",N41="j",N41="l",N41="m",O41="i",O41="j",O41="l",O41="m"),VLOOKUP("e",'Características dos Cabos'!$D$14:$K$18,4),"")))))</f>
        <v/>
      </c>
      <c r="Z41" s="281" t="str">
        <f t="shared" si="8"/>
        <v/>
      </c>
      <c r="AA41" s="282" t="str">
        <f t="shared" si="11"/>
        <v/>
      </c>
      <c r="AB41" s="455" t="e">
        <f>VLOOKUP(C41,$D$21:$R$35,12,FALSE)</f>
        <v>#N/A</v>
      </c>
      <c r="AC41" s="312">
        <f t="shared" si="12"/>
        <v>0</v>
      </c>
      <c r="AD41" s="312">
        <f t="shared" si="13"/>
        <v>0</v>
      </c>
      <c r="AE41" s="309"/>
    </row>
    <row r="42" spans="1:31" ht="14.25" customHeight="1" thickTop="1" thickBot="1">
      <c r="A42" s="2"/>
      <c r="B42" s="769"/>
      <c r="C42" s="70"/>
      <c r="D42" s="71"/>
      <c r="E42" s="72"/>
      <c r="F42" s="35"/>
      <c r="G42" s="55"/>
      <c r="H42" s="313" t="str">
        <f>IF(AND(E42="",G42=""),"",SUM(F42:G44))</f>
        <v/>
      </c>
      <c r="I42" s="266" t="str">
        <f>IF(OR(L42="",M42=""),"",IF(L42="3",VLOOKUP(N42,'K% (Rede Convencional)'!$B$18:$H$29,5),(IF(L42="2",VLOOKUP(O42,'K% (Rede Convencional)'!$B$18:$H$29,6),(IF(L42="1",VLOOKUP(O42,'K% (Rede Convencional)'!$B$18:$H$29,7)))))))</f>
        <v/>
      </c>
      <c r="J42" s="266" t="str">
        <f>IF(OR(L42="",M42=""),"",IF(L42="3",VLOOKUP(N42,'K% (Rede Convencional)'!$B$18:$E$29,2),(IF(L42="2",VLOOKUP(O42,'K% (Rede Convencional)'!$B$18:$E$29,3),(IF(L42="1",VLOOKUP(O42,'K% (Rede Convencional)'!$B$18:$E$29,4)))))))</f>
        <v/>
      </c>
      <c r="K42" s="266" t="str">
        <f t="shared" si="4"/>
        <v/>
      </c>
      <c r="L42" s="83"/>
      <c r="M42" s="83"/>
      <c r="N42" s="81">
        <f t="shared" si="10"/>
        <v>0</v>
      </c>
      <c r="O42" s="82" t="str">
        <f>IF(M42="","",IF(M42="4 (4)","a",IF(OR(M42="2 (4)",M42="2 (2)"),VLOOKUP(M42,mT!$AF$21:$AG$22,2,FALSE),IF(OR(M42="1/0 (4)",M42="1/0 (2)"),VLOOKUP(M42,mT!$AF$24:$AG$25,2,FALSE),IF(OR(M42="4/0 (4)",M42="4/0 (2)",M42="4/0 (1/0)"),VLOOKUP(M42,mT!$AF$27:$AG$29,2,FALSE),IF(OR(M42="336,4 (4)",M42="336,4 (2)",M42="336,4 (1/0)",M42="336,4 (4/0)"),VLOOKUP(M42,mT!$AF$31:$AG$34,2,FALSE),""))))))</f>
        <v/>
      </c>
      <c r="P42" s="55"/>
      <c r="Q42" s="268" t="str">
        <f t="shared" si="5"/>
        <v/>
      </c>
      <c r="R42" s="268" t="str">
        <f>IF(Q42="","",SUM($Q$20:Q42))</f>
        <v/>
      </c>
      <c r="S42" s="268" t="str">
        <f t="shared" si="9"/>
        <v/>
      </c>
      <c r="T42" s="269" t="str">
        <f>IF(OR(N42="a",O42="a"),VLOOKUP("a",'Características dos Cabos'!$D$25:$L$29,9),IF(OR(N42="b",N42="c",O42="b",O42="c"),VLOOKUP("b",'Características dos Cabos'!$D$25:$L$29,9),IF(OR(N42="d",N42="e",O42="d",O42="e"),VLOOKUP("c",'Características dos Cabos'!$D$25:$L$29,9),IF(OR(N42="f",N42="g",N42="h",O42="f",O42="g",O42="h"),VLOOKUP("d",'Características dos Cabos'!$D$25:$L$29,9),IF(OR(N42="i",N42="j",N42="l",N42="m",O42="i",O43="j",O43="l",O43="m"),VLOOKUP("e",'Características dos Cabos'!$D$25:$L$29,9),"")))))</f>
        <v/>
      </c>
      <c r="U42" s="269" t="str">
        <f>IF(OR(N42="a",O42="a"),VLOOKUP("a",'Características dos Cabos'!$D$14:$K$18,8),IF(OR(N42="b",N42="c",O42="b",O42="c"),VLOOKUP("b",'Características dos Cabos'!$D$14:$K$18,8),IF(OR(N42="d",N42="e",O42="d",O42="e"),VLOOKUP("c",'Características dos Cabos'!$D$14:$K$18,8),IF(OR(N42="f",N42="g",N42="h",O42="f",O42="g",O42="h"),VLOOKUP("d",'Características dos Cabos'!$D$14:$K$18,8),IF(OR(N42="i",N42="j",N42="l",N42="m",O42="i",O43="j",O43="l",O43="m"),VLOOKUP("e",'Características dos Cabos'!$D$14:$K$18,8),"")))))</f>
        <v/>
      </c>
      <c r="V42" s="269" t="str">
        <f t="shared" si="6"/>
        <v/>
      </c>
      <c r="W42" s="268" t="str">
        <f t="shared" si="7"/>
        <v/>
      </c>
      <c r="X42" s="314" t="str">
        <f>IF(OR(N42="a",O42="a"),VLOOKUP("a",'Características dos Cabos'!$D$25:$L$29,3),IF(OR(N42="b",N42="c",O42="b",O42="c"),VLOOKUP("b",'Características dos Cabos'!$D$25:$L$29,3),IF(OR(N42="d",N42="e",O42="d",O42="e"),VLOOKUP("c",'Características dos Cabos'!$D$25:$L$29,3),IF(OR(N42="f",N42="g",N42="h",O42="f",O42="g",O42="h"),VLOOKUP("d",'Características dos Cabos'!$D$25:$L$29,3),IF(OR(N42="i",N42="j",N42="l",N42="m",O42="i",O42="j",O42="l",O42="m"),VLOOKUP("e",'Características dos Cabos'!$D$25:$L$29,3),"")))))</f>
        <v/>
      </c>
      <c r="Y42" s="314" t="str">
        <f>IF(OR(N42="a",O42="a"),VLOOKUP("a",'Características dos Cabos'!$D$14:$K$18,4),IF(OR(N42="b",N42="c",O42="b",O42="c"),VLOOKUP("b",'Características dos Cabos'!$D$14:$K$18,4),IF(OR(N42="d",N42="e",O42="d",O42="e"),VLOOKUP("c",'Características dos Cabos'!$D$14:$K$18,4),IF(OR(N42="f",N42="g",N42="h",O42="f",O42="g",O42="h"),VLOOKUP("d",'Características dos Cabos'!$D$14:$K$18,4),IF(OR(N42="i",N42="j",N42="l",N42="m",O42="i",O42="j",O42="l",O42="m"),VLOOKUP("e",'Características dos Cabos'!$D$14:$K$18,4),"")))))</f>
        <v/>
      </c>
      <c r="Z42" s="269" t="str">
        <f t="shared" si="8"/>
        <v/>
      </c>
      <c r="AA42" s="270" t="str">
        <f t="shared" si="11"/>
        <v/>
      </c>
      <c r="AB42" s="309"/>
      <c r="AC42" s="312">
        <f t="shared" si="12"/>
        <v>0</v>
      </c>
      <c r="AD42" s="312">
        <f t="shared" si="13"/>
        <v>0</v>
      </c>
      <c r="AE42" s="309"/>
    </row>
    <row r="43" spans="1:31" ht="13.5" customHeight="1" thickTop="1" thickBot="1">
      <c r="A43" s="2"/>
      <c r="B43" s="769"/>
      <c r="C43" s="70"/>
      <c r="D43" s="71"/>
      <c r="E43" s="72"/>
      <c r="F43" s="35"/>
      <c r="G43" s="55"/>
      <c r="H43" s="313" t="str">
        <f>IF(AND(E43="",G43=""),"",SUM(F43:G44))</f>
        <v/>
      </c>
      <c r="I43" s="266" t="str">
        <f>IF(OR(L43="",M43=""),"",IF(L43="3",VLOOKUP(N43,'K% (Rede Convencional)'!$B$18:$H$29,5),(IF(L43="2",VLOOKUP(O43,'K% (Rede Convencional)'!$B$18:$H$29,6),(IF(L43="1",VLOOKUP(O43,'K% (Rede Convencional)'!$B$18:$H$29,7)))))))</f>
        <v/>
      </c>
      <c r="J43" s="266" t="str">
        <f>IF(OR(L43="",M43=""),"",IF(L43="3",VLOOKUP(N43,'K% (Rede Convencional)'!$B$18:$E$29,2),(IF(L43="2",VLOOKUP(O43,'K% (Rede Convencional)'!$B$18:$E$29,3),(IF(L43="1",VLOOKUP(O43,'K% (Rede Convencional)'!$B$18:$E$29,4)))))))</f>
        <v/>
      </c>
      <c r="K43" s="266" t="str">
        <f t="shared" si="4"/>
        <v/>
      </c>
      <c r="L43" s="83"/>
      <c r="M43" s="83"/>
      <c r="N43" s="81">
        <f t="shared" si="10"/>
        <v>0</v>
      </c>
      <c r="O43" s="82" t="str">
        <f>IF(M43="","",IF(M43="4 (4)","a",IF(OR(M43="2 (4)",M43="2 (2)"),VLOOKUP(M43,mT!$AF$21:$AG$22,2,FALSE),IF(OR(M43="1/0 (4)",M43="1/0 (2)"),VLOOKUP(M43,mT!$AF$24:$AG$25,2,FALSE),IF(OR(M43="4/0 (4)",M43="4/0 (2)",M43="4/0 (1/0)"),VLOOKUP(M43,mT!$AF$27:$AG$29,2,FALSE),IF(OR(M43="336,4 (4)",M43="336,4 (2)",M43="336,4 (1/0)",M43="336,4 (4/0)"),VLOOKUP(M43,mT!$AF$31:$AG$34,2,FALSE),""))))))</f>
        <v/>
      </c>
      <c r="P43" s="55"/>
      <c r="Q43" s="268" t="str">
        <f t="shared" si="5"/>
        <v/>
      </c>
      <c r="R43" s="268" t="str">
        <f>IF(Q43="","",SUM($Q$20:Q43))</f>
        <v/>
      </c>
      <c r="S43" s="268" t="str">
        <f t="shared" si="9"/>
        <v/>
      </c>
      <c r="T43" s="269" t="str">
        <f>IF(OR(N43="a",O43="a"),VLOOKUP("a",'Características dos Cabos'!$D$25:$L$29,9),IF(OR(N43="b",N43="c",O43="b",O43="c"),VLOOKUP("b",'Características dos Cabos'!$D$25:$L$29,9),IF(OR(N43="d",N43="e",O43="d",O43="e"),VLOOKUP("c",'Características dos Cabos'!$D$25:$L$29,9),IF(OR(N43="f",N43="g",N43="h",O43="f",O43="g",O43="h"),VLOOKUP("d",'Características dos Cabos'!$D$25:$L$29,9),IF(OR(N43="i",N43="j",N43="l",N43="m",O43="i",O44="j",O44="l",O44="m"),VLOOKUP("e",'Características dos Cabos'!$D$25:$L$29,9),"")))))</f>
        <v/>
      </c>
      <c r="U43" s="269" t="str">
        <f>IF(OR(N43="a",O43="a"),VLOOKUP("a",'Características dos Cabos'!$D$14:$K$18,8),IF(OR(N43="b",N43="c",O43="b",O43="c"),VLOOKUP("b",'Características dos Cabos'!$D$14:$K$18,8),IF(OR(N43="d",N43="e",O43="d",O43="e"),VLOOKUP("c",'Características dos Cabos'!$D$14:$K$18,8),IF(OR(N43="f",N43="g",N43="h",O43="f",O43="g",O43="h"),VLOOKUP("d",'Características dos Cabos'!$D$14:$K$18,8),IF(OR(N43="i",N43="j",N43="l",N43="m",O43="i",O44="j",O44="l",O44="m"),VLOOKUP("e",'Características dos Cabos'!$D$14:$K$18,8),"")))))</f>
        <v/>
      </c>
      <c r="V43" s="269" t="str">
        <f t="shared" si="6"/>
        <v/>
      </c>
      <c r="W43" s="268" t="str">
        <f t="shared" si="7"/>
        <v/>
      </c>
      <c r="X43" s="314" t="str">
        <f>IF(OR(N43="a",O43="a"),VLOOKUP("a",'Características dos Cabos'!$D$25:$L$29,3),IF(OR(N43="b",N43="c",O43="b",O43="c"),VLOOKUP("b",'Características dos Cabos'!$D$25:$L$29,3),IF(OR(N43="d",N43="e",O43="d",O43="e"),VLOOKUP("c",'Características dos Cabos'!$D$25:$L$29,3),IF(OR(N43="f",N43="g",N43="h",O43="f",O43="g",O43="h"),VLOOKUP("d",'Características dos Cabos'!$D$25:$L$29,3),IF(OR(N43="i",N43="j",N43="l",N43="m",O43="i",O43="j",O43="l",O43="m"),VLOOKUP("e",'Características dos Cabos'!$D$25:$L$29,3),"")))))</f>
        <v/>
      </c>
      <c r="Y43" s="314" t="str">
        <f>IF(OR(N43="a",O43="a"),VLOOKUP("a",'Características dos Cabos'!$D$14:$K$18,4),IF(OR(N43="b",N43="c",O43="b",O43="c"),VLOOKUP("b",'Características dos Cabos'!$D$14:$K$18,4),IF(OR(N43="d",N43="e",O43="d",O43="e"),VLOOKUP("c",'Características dos Cabos'!$D$14:$K$18,4),IF(OR(N43="f",N43="g",N43="h",O43="f",O43="g",O43="h"),VLOOKUP("d",'Características dos Cabos'!$D$14:$K$18,4),IF(OR(N43="i",N43="j",N43="l",N43="m",O43="i",O43="j",O43="l",O43="m"),VLOOKUP("e",'Características dos Cabos'!$D$14:$K$18,4),"")))))</f>
        <v/>
      </c>
      <c r="Z43" s="269" t="str">
        <f t="shared" si="8"/>
        <v/>
      </c>
      <c r="AA43" s="270" t="str">
        <f t="shared" si="11"/>
        <v/>
      </c>
      <c r="AB43" s="309"/>
      <c r="AC43" s="312">
        <f t="shared" si="12"/>
        <v>0</v>
      </c>
      <c r="AD43" s="312">
        <f t="shared" si="13"/>
        <v>0</v>
      </c>
      <c r="AE43" s="309"/>
    </row>
    <row r="44" spans="1:31" ht="13.5" customHeight="1" thickTop="1" thickBot="1">
      <c r="A44" s="2"/>
      <c r="B44" s="769"/>
      <c r="C44" s="73"/>
      <c r="D44" s="74"/>
      <c r="E44" s="75"/>
      <c r="F44" s="35"/>
      <c r="G44" s="56"/>
      <c r="H44" s="315" t="str">
        <f>IF(AND(E44="",G44=""),"",SUM(F44:G44))</f>
        <v/>
      </c>
      <c r="I44" s="287" t="str">
        <f>IF(OR(L44="",M44=""),"",IF(L44="3",VLOOKUP(N44,'K% (Rede Convencional)'!$B$18:$H$29,5),(IF(L44="2",VLOOKUP(O44,'K% (Rede Convencional)'!$B$18:$H$29,6),(IF(L44="1",VLOOKUP(O44,'K% (Rede Convencional)'!$B$18:$H$29,7)))))))</f>
        <v/>
      </c>
      <c r="J44" s="287" t="str">
        <f>IF(OR(L44="",M44=""),"",IF(L44="3",VLOOKUP(N44,'K% (Rede Convencional)'!$B$18:$E$29,2),(IF(L44="2",VLOOKUP(O44,'K% (Rede Convencional)'!$B$18:$E$29,3),(IF(L44="1",VLOOKUP(O44,'K% (Rede Convencional)'!$B$18:$E$29,4)))))))</f>
        <v/>
      </c>
      <c r="K44" s="287" t="str">
        <f t="shared" si="4"/>
        <v/>
      </c>
      <c r="L44" s="84"/>
      <c r="M44" s="84"/>
      <c r="N44" s="81">
        <f t="shared" si="10"/>
        <v>0</v>
      </c>
      <c r="O44" s="82" t="str">
        <f>IF(M44="","",IF(M44="4 (4)","a",IF(OR(M44="2 (4)",M44="2 (2)"),VLOOKUP(M44,mT!$AF$21:$AG$22,2,FALSE),IF(OR(M44="1/0 (4)",M44="1/0 (2)"),VLOOKUP(M44,mT!$AF$24:$AG$25,2,FALSE),IF(OR(M44="4/0 (4)",M44="4/0 (2)",M44="4/0 (1/0)"),VLOOKUP(M44,mT!$AF$27:$AG$29,2,FALSE),IF(OR(M44="336,4 (4)",M44="336,4 (2)",M44="336,4 (1/0)",M44="336,4 (4/0)"),VLOOKUP(M44,mT!$AF$31:$AG$34,2,FALSE),""))))))</f>
        <v/>
      </c>
      <c r="P44" s="56"/>
      <c r="Q44" s="289" t="str">
        <f t="shared" si="5"/>
        <v/>
      </c>
      <c r="R44" s="289" t="str">
        <f>IF(Q44="","",SUM($Q$20:Q44))</f>
        <v/>
      </c>
      <c r="S44" s="289" t="str">
        <f t="shared" si="9"/>
        <v/>
      </c>
      <c r="T44" s="290" t="str">
        <f>IF(OR(N44="a",O44="a"),VLOOKUP("a",'Características dos Cabos'!$D$25:$L$29,9),IF(OR(N44="b",N44="c",O44="b",O44="c"),VLOOKUP("b",'Características dos Cabos'!$D$25:$L$29,9),IF(OR(N44="d",N44="e",O44="d",O44="e"),VLOOKUP("c",'Características dos Cabos'!$D$25:$L$29,9),IF(OR(N44="f",N44="g",N44="h",O44="f",O44="g",O44="h"),VLOOKUP("d",'Características dos Cabos'!$D$25:$L$29,9),IF(OR(N44="i",N44="j",N44="l",N44="m",O44="i",O45="j",O45="l",O45="m"),VLOOKUP("e",'Características dos Cabos'!$D$25:$L$29,9),"")))))</f>
        <v/>
      </c>
      <c r="U44" s="290" t="str">
        <f>IF(OR(N44="a",O44="a"),VLOOKUP("a",'Características dos Cabos'!$D$14:$K$18,8),IF(OR(N44="b",N44="c",O44="b",O44="c"),VLOOKUP("b",'Características dos Cabos'!$D$14:$K$18,8),IF(OR(N44="d",N44="e",O44="d",O44="e"),VLOOKUP("c",'Características dos Cabos'!$D$14:$K$18,8),IF(OR(N44="f",N44="g",N44="h",O44="f",O44="g",O44="h"),VLOOKUP("d",'Características dos Cabos'!$D$14:$K$18,8),IF(OR(N44="i",N44="j",N44="l",N44="m",O44="i",O45="j",O45="l",O45="m"),VLOOKUP("e",'Características dos Cabos'!$D$14:$K$18,8),"")))))</f>
        <v/>
      </c>
      <c r="V44" s="290" t="str">
        <f t="shared" si="6"/>
        <v/>
      </c>
      <c r="W44" s="289" t="str">
        <f t="shared" si="7"/>
        <v/>
      </c>
      <c r="X44" s="316" t="str">
        <f>IF(OR(N44="a",O44="a"),VLOOKUP("a",'Características dos Cabos'!$D$25:$L$29,3),IF(OR(N44="b",N44="c",O44="b",O44="c"),VLOOKUP("b",'Características dos Cabos'!$D$25:$L$29,3),IF(OR(N44="d",N44="e",O44="d",O44="e"),VLOOKUP("c",'Características dos Cabos'!$D$25:$L$29,3),IF(OR(N44="f",N44="g",N44="h",O44="f",O44="g",O44="h"),VLOOKUP("d",'Características dos Cabos'!$D$25:$L$29,3),IF(OR(N44="i",N44="j",N44="l",N44="m",O44="i",O44="j",O44="l",O44="m"),VLOOKUP("e",'Características dos Cabos'!$D$25:$L$29,3),"")))))</f>
        <v/>
      </c>
      <c r="Y44" s="316" t="str">
        <f>IF(OR(N44="a",O44="a"),VLOOKUP("a",'Características dos Cabos'!$D$14:$K$18,4),IF(OR(N44="b",N44="c",O44="b",O44="c"),VLOOKUP("b",'Características dos Cabos'!$D$14:$K$18,4),IF(OR(N44="d",N44="e",O44="d",O44="e"),VLOOKUP("c",'Características dos Cabos'!$D$14:$K$18,4),IF(OR(N44="f",N44="g",N44="h",O44="f",O44="g",O44="h"),VLOOKUP("d",'Características dos Cabos'!$D$14:$K$18,4),IF(OR(N44="i",N44="j",N44="l",N44="m",O44="i",O44="j",O44="l",O44="m"),VLOOKUP("e",'Características dos Cabos'!$D$14:$K$18,4),"")))))</f>
        <v/>
      </c>
      <c r="Z44" s="290" t="str">
        <f t="shared" si="8"/>
        <v/>
      </c>
      <c r="AA44" s="291" t="str">
        <f t="shared" si="11"/>
        <v/>
      </c>
      <c r="AB44" s="309"/>
      <c r="AC44" s="312">
        <f t="shared" si="12"/>
        <v>0</v>
      </c>
      <c r="AD44" s="312">
        <f t="shared" si="13"/>
        <v>0</v>
      </c>
      <c r="AE44" s="309"/>
    </row>
    <row r="45" spans="1:31" ht="13.5" customHeight="1" thickTop="1" thickBot="1">
      <c r="A45" s="2"/>
      <c r="B45" s="768" t="s">
        <v>229</v>
      </c>
      <c r="C45" s="59"/>
      <c r="D45" s="76"/>
      <c r="E45" s="68"/>
      <c r="F45" s="35"/>
      <c r="G45" s="69"/>
      <c r="H45" s="310" t="str">
        <f>IF(AND(E45="",G45=""),"",SUM(F45:G48))</f>
        <v/>
      </c>
      <c r="I45" s="279" t="str">
        <f>IF(OR(L45="",M45=""),"",IF(L45="3",VLOOKUP(N45,'K% (Rede Convencional)'!$B$18:$H$29,5),(IF(L45="2",VLOOKUP(O45,'K% (Rede Convencional)'!$B$18:$H$29,6),(IF(L45="1",VLOOKUP(O45,'K% (Rede Convencional)'!$B$18:$H$29,7)))))))</f>
        <v/>
      </c>
      <c r="J45" s="279" t="str">
        <f>IF(OR(L45="",M45=""),"",IF(L45="3",VLOOKUP(N45,'K% (Rede Convencional)'!$B$18:$E$29,2),(IF(L45="2",VLOOKUP(O45,'K% (Rede Convencional)'!$B$18:$E$29,3),(IF(L45="1",VLOOKUP(O45,'K% (Rede Convencional)'!$B$18:$E$29,4)))))))</f>
        <v/>
      </c>
      <c r="K45" s="279" t="str">
        <f t="shared" si="4"/>
        <v/>
      </c>
      <c r="L45" s="85"/>
      <c r="M45" s="85"/>
      <c r="N45" s="81">
        <f t="shared" si="10"/>
        <v>0</v>
      </c>
      <c r="O45" s="82" t="str">
        <f>IF(M45="","",IF(M45="4 (4)","a",IF(OR(M45="2 (4)",M45="2 (2)"),VLOOKUP(M45,mT!$AF$21:$AG$22,2,FALSE),IF(OR(M45="1/0 (4)",M45="1/0 (2)"),VLOOKUP(M45,mT!$AF$24:$AG$25,2,FALSE),IF(OR(M45="4/0 (4)",M45="4/0 (2)",M45="4/0 (1/0)"),VLOOKUP(M45,mT!$AF$27:$AG$29,2,FALSE),IF(OR(M45="336,4 (4)",M45="336,4 (2)",M45="336,4 (1/0)",M45="336,4 (4/0)"),VLOOKUP(M45,mT!$AF$31:$AG$34,2,FALSE),""))))))</f>
        <v/>
      </c>
      <c r="P45" s="69"/>
      <c r="Q45" s="280" t="str">
        <f t="shared" si="5"/>
        <v/>
      </c>
      <c r="R45" s="280" t="str">
        <f>IF(Q45="","",SUM($Q$20:Q45))</f>
        <v/>
      </c>
      <c r="S45" s="280" t="str">
        <f t="shared" si="9"/>
        <v/>
      </c>
      <c r="T45" s="281" t="str">
        <f>IF(OR(N45="a",O45="a"),VLOOKUP("a",'Características dos Cabos'!$D$25:$L$29,9),IF(OR(N45="b",N45="c",O45="b",O45="c"),VLOOKUP("b",'Características dos Cabos'!$D$25:$L$29,9),IF(OR(N45="d",N45="e",O45="d",O45="e"),VLOOKUP("c",'Características dos Cabos'!$D$25:$L$29,9),IF(OR(N45="f",N45="g",N45="h",O45="f",O45="g",O45="h"),VLOOKUP("d",'Características dos Cabos'!$D$25:$L$29,9),IF(OR(N45="i",N45="j",N45="l",N45="m",O45="i",O46="j",O46="l",O46="m"),VLOOKUP("e",'Características dos Cabos'!$D$25:$L$29,9),"")))))</f>
        <v/>
      </c>
      <c r="U45" s="281" t="str">
        <f>IF(OR(N45="a",O45="a"),VLOOKUP("a",'Características dos Cabos'!$D$14:$K$18,8),IF(OR(N45="b",N45="c",O45="b",O45="c"),VLOOKUP("b",'Características dos Cabos'!$D$14:$K$18,8),IF(OR(N45="d",N45="e",O45="d",O45="e"),VLOOKUP("c",'Características dos Cabos'!$D$14:$K$18,8),IF(OR(N45="f",N45="g",N45="h",O45="f",O45="g",O45="h"),VLOOKUP("d",'Características dos Cabos'!$D$14:$K$18,8),IF(OR(N45="i",N45="j",N45="l",N45="m",O45="i",O46="j",O46="l",O46="m"),VLOOKUP("e",'Características dos Cabos'!$D$14:$K$18,8),"")))))</f>
        <v/>
      </c>
      <c r="V45" s="281" t="str">
        <f t="shared" si="6"/>
        <v/>
      </c>
      <c r="W45" s="280" t="str">
        <f t="shared" si="7"/>
        <v/>
      </c>
      <c r="X45" s="311" t="str">
        <f>IF(OR(N45="a",O45="a"),VLOOKUP("a",'Características dos Cabos'!$D$25:$L$29,3),IF(OR(N45="b",N45="c",O45="b",O45="c"),VLOOKUP("b",'Características dos Cabos'!$D$25:$L$29,3),IF(OR(N45="d",N45="e",O45="d",O45="e"),VLOOKUP("c",'Características dos Cabos'!$D$25:$L$29,3),IF(OR(N45="f",N45="g",N45="h",O45="f",O45="g",O45="h"),VLOOKUP("d",'Características dos Cabos'!$D$25:$L$29,3),IF(OR(N45="i",N45="j",N45="l",N45="m",O45="i",O45="j",O45="l",O45="m"),VLOOKUP("e",'Características dos Cabos'!$D$25:$L$29,3),"")))))</f>
        <v/>
      </c>
      <c r="Y45" s="311" t="str">
        <f>IF(OR(N45="a",O45="a"),VLOOKUP("a",'Características dos Cabos'!$D$14:$K$18,4),IF(OR(N45="b",N45="c",O45="b",O45="c"),VLOOKUP("b",'Características dos Cabos'!$D$14:$K$18,4),IF(OR(N45="d",N45="e",O45="d",O45="e"),VLOOKUP("c",'Características dos Cabos'!$D$14:$K$18,4),IF(OR(N45="f",N45="g",N45="h",O45="f",O45="g",O45="h"),VLOOKUP("d",'Características dos Cabos'!$D$14:$K$18,4),IF(OR(N45="i",N45="j",N45="l",N45="m",O45="i",O45="j",O45="l",O45="m"),VLOOKUP("e",'Características dos Cabos'!$D$14:$K$18,4),"")))))</f>
        <v/>
      </c>
      <c r="Z45" s="281" t="str">
        <f t="shared" si="8"/>
        <v/>
      </c>
      <c r="AA45" s="282" t="str">
        <f t="shared" si="11"/>
        <v/>
      </c>
      <c r="AB45" s="455" t="e">
        <f>VLOOKUP(C45,$D$21:$R$35,12,FALSE)</f>
        <v>#N/A</v>
      </c>
      <c r="AC45" s="312">
        <f t="shared" si="12"/>
        <v>0</v>
      </c>
      <c r="AD45" s="312">
        <f t="shared" si="13"/>
        <v>0</v>
      </c>
      <c r="AE45" s="309"/>
    </row>
    <row r="46" spans="1:31" ht="14.25" customHeight="1" thickTop="1" thickBot="1">
      <c r="A46" s="2"/>
      <c r="B46" s="769"/>
      <c r="C46" s="70"/>
      <c r="D46" s="71"/>
      <c r="E46" s="72"/>
      <c r="F46" s="35"/>
      <c r="G46" s="55"/>
      <c r="H46" s="313" t="str">
        <f>IF(AND(E46="",G46=""),"",SUM(F46:G48))</f>
        <v/>
      </c>
      <c r="I46" s="266" t="str">
        <f>IF(OR(L46="",M46=""),"",IF(L46="3",VLOOKUP(N46,'K% (Rede Convencional)'!$B$18:$H$29,5),(IF(L46="2",VLOOKUP(O46,'K% (Rede Convencional)'!$B$18:$H$29,6),(IF(L46="1",VLOOKUP(O46,'K% (Rede Convencional)'!$B$18:$H$29,7)))))))</f>
        <v/>
      </c>
      <c r="J46" s="266" t="str">
        <f>IF(OR(L46="",M46=""),"",IF(L46="3",VLOOKUP(N46,'K% (Rede Convencional)'!$B$18:$E$29,2),(IF(L46="2",VLOOKUP(O46,'K% (Rede Convencional)'!$B$18:$E$29,3),(IF(L46="1",VLOOKUP(O46,'K% (Rede Convencional)'!$B$18:$E$29,4)))))))</f>
        <v/>
      </c>
      <c r="K46" s="266" t="str">
        <f t="shared" si="4"/>
        <v/>
      </c>
      <c r="L46" s="83"/>
      <c r="M46" s="83"/>
      <c r="N46" s="81">
        <f t="shared" si="10"/>
        <v>0</v>
      </c>
      <c r="O46" s="82" t="str">
        <f>IF(M46="","",IF(M46="4 (4)","a",IF(OR(M46="2 (4)",M46="2 (2)"),VLOOKUP(M46,mT!$AF$21:$AG$22,2,FALSE),IF(OR(M46="1/0 (4)",M46="1/0 (2)"),VLOOKUP(M46,mT!$AF$24:$AG$25,2,FALSE),IF(OR(M46="4/0 (4)",M46="4/0 (2)",M46="4/0 (1/0)"),VLOOKUP(M46,mT!$AF$27:$AG$29,2,FALSE),IF(OR(M46="336,4 (4)",M46="336,4 (2)",M46="336,4 (1/0)",M46="336,4 (4/0)"),VLOOKUP(M46,mT!$AF$31:$AG$34,2,FALSE),""))))))</f>
        <v/>
      </c>
      <c r="P46" s="55"/>
      <c r="Q46" s="268" t="str">
        <f t="shared" si="5"/>
        <v/>
      </c>
      <c r="R46" s="268" t="str">
        <f>IF(Q46="","",SUM($Q$20:Q46))</f>
        <v/>
      </c>
      <c r="S46" s="268" t="str">
        <f t="shared" si="9"/>
        <v/>
      </c>
      <c r="T46" s="269" t="str">
        <f>IF(OR(N46="a",O46="a"),VLOOKUP("a",'Características dos Cabos'!$D$25:$L$29,9),IF(OR(N46="b",N46="c",O46="b",O46="c"),VLOOKUP("b",'Características dos Cabos'!$D$25:$L$29,9),IF(OR(N46="d",N46="e",O46="d",O46="e"),VLOOKUP("c",'Características dos Cabos'!$D$25:$L$29,9),IF(OR(N46="f",N46="g",N46="h",O46="f",O46="g",O46="h"),VLOOKUP("d",'Características dos Cabos'!$D$25:$L$29,9),IF(OR(N46="i",N46="j",N46="l",N46="m",O46="i",O47="j",O47="l",O47="m"),VLOOKUP("e",'Características dos Cabos'!$D$25:$L$29,9),"")))))</f>
        <v/>
      </c>
      <c r="U46" s="269" t="str">
        <f>IF(OR(N46="a",O46="a"),VLOOKUP("a",'Características dos Cabos'!$D$14:$K$18,8),IF(OR(N46="b",N46="c",O46="b",O46="c"),VLOOKUP("b",'Características dos Cabos'!$D$14:$K$18,8),IF(OR(N46="d",N46="e",O46="d",O46="e"),VLOOKUP("c",'Características dos Cabos'!$D$14:$K$18,8),IF(OR(N46="f",N46="g",N46="h",O46="f",O46="g",O46="h"),VLOOKUP("d",'Características dos Cabos'!$D$14:$K$18,8),IF(OR(N46="i",N46="j",N46="l",N46="m",O46="i",O47="j",O47="l",O47="m"),VLOOKUP("e",'Características dos Cabos'!$D$14:$K$18,8),"")))))</f>
        <v/>
      </c>
      <c r="V46" s="269" t="str">
        <f t="shared" si="6"/>
        <v/>
      </c>
      <c r="W46" s="268" t="str">
        <f t="shared" si="7"/>
        <v/>
      </c>
      <c r="X46" s="314" t="str">
        <f>IF(OR(N46="a",O46="a"),VLOOKUP("a",'Características dos Cabos'!$D$25:$L$29,3),IF(OR(N46="b",N46="c",O46="b",O46="c"),VLOOKUP("b",'Características dos Cabos'!$D$25:$L$29,3),IF(OR(N46="d",N46="e",O46="d",O46="e"),VLOOKUP("c",'Características dos Cabos'!$D$25:$L$29,3),IF(OR(N46="f",N46="g",N46="h",O46="f",O46="g",O46="h"),VLOOKUP("d",'Características dos Cabos'!$D$25:$L$29,3),IF(OR(N46="i",N46="j",N46="l",N46="m",O46="i",O46="j",O46="l",O46="m"),VLOOKUP("e",'Características dos Cabos'!$D$25:$L$29,3),"")))))</f>
        <v/>
      </c>
      <c r="Y46" s="314" t="str">
        <f>IF(OR(N46="a",O46="a"),VLOOKUP("a",'Características dos Cabos'!$D$14:$K$18,4),IF(OR(N46="b",N46="c",O46="b",O46="c"),VLOOKUP("b",'Características dos Cabos'!$D$14:$K$18,4),IF(OR(N46="d",N46="e",O46="d",O46="e"),VLOOKUP("c",'Características dos Cabos'!$D$14:$K$18,4),IF(OR(N46="f",N46="g",N46="h",O46="f",O46="g",O46="h"),VLOOKUP("d",'Características dos Cabos'!$D$14:$K$18,4),IF(OR(N46="i",N46="j",N46="l",N46="m",O46="i",O46="j",O46="l",O46="m"),VLOOKUP("e",'Características dos Cabos'!$D$14:$K$18,4),"")))))</f>
        <v/>
      </c>
      <c r="Z46" s="269" t="str">
        <f t="shared" si="8"/>
        <v/>
      </c>
      <c r="AA46" s="270" t="str">
        <f t="shared" si="11"/>
        <v/>
      </c>
      <c r="AB46" s="309"/>
      <c r="AC46" s="312">
        <f t="shared" si="12"/>
        <v>0</v>
      </c>
      <c r="AD46" s="312">
        <f t="shared" si="13"/>
        <v>0</v>
      </c>
      <c r="AE46" s="309"/>
    </row>
    <row r="47" spans="1:31" ht="13.5" customHeight="1" thickTop="1" thickBot="1">
      <c r="A47" s="2"/>
      <c r="B47" s="769"/>
      <c r="C47" s="70"/>
      <c r="D47" s="71"/>
      <c r="E47" s="72"/>
      <c r="F47" s="35"/>
      <c r="G47" s="55"/>
      <c r="H47" s="313" t="str">
        <f>IF(AND(E47="",G47=""),"",SUM(F47:G48))</f>
        <v/>
      </c>
      <c r="I47" s="266" t="str">
        <f>IF(OR(L47="",M47=""),"",IF(L47="3",VLOOKUP(N47,'K% (Rede Convencional)'!$B$18:$H$29,5),(IF(L47="2",VLOOKUP(O47,'K% (Rede Convencional)'!$B$18:$H$29,6),(IF(L47="1",VLOOKUP(O47,'K% (Rede Convencional)'!$B$18:$H$29,7)))))))</f>
        <v/>
      </c>
      <c r="J47" s="266" t="str">
        <f>IF(OR(L47="",M47=""),"",IF(L47="3",VLOOKUP(N47,'K% (Rede Convencional)'!$B$18:$E$29,2),(IF(L47="2",VLOOKUP(O47,'K% (Rede Convencional)'!$B$18:$E$29,3),(IF(L47="1",VLOOKUP(O47,'K% (Rede Convencional)'!$B$18:$E$29,4)))))))</f>
        <v/>
      </c>
      <c r="K47" s="266" t="str">
        <f t="shared" si="4"/>
        <v/>
      </c>
      <c r="L47" s="83"/>
      <c r="M47" s="83"/>
      <c r="N47" s="81"/>
      <c r="O47" s="82"/>
      <c r="P47" s="55"/>
      <c r="Q47" s="268" t="str">
        <f t="shared" si="5"/>
        <v/>
      </c>
      <c r="R47" s="268" t="str">
        <f>IF(Q47="","",SUM($Q$20:Q47))</f>
        <v/>
      </c>
      <c r="S47" s="268" t="str">
        <f t="shared" si="9"/>
        <v/>
      </c>
      <c r="T47" s="269" t="str">
        <f>IF(OR(N47="a",O47="a"),VLOOKUP("a",'Características dos Cabos'!$D$25:$L$29,9),IF(OR(N47="b",N47="c",O47="b",O47="c"),VLOOKUP("b",'Características dos Cabos'!$D$25:$L$29,9),IF(OR(N47="d",N47="e",O47="d",O47="e"),VLOOKUP("c",'Características dos Cabos'!$D$25:$L$29,9),IF(OR(N47="f",N47="g",N47="h",O47="f",O47="g",O47="h"),VLOOKUP("d",'Características dos Cabos'!$D$25:$L$29,9),IF(OR(N47="i",N47="j",N47="l",N47="m",O47="i",O48="j",O48="l",O48="m"),VLOOKUP("e",'Características dos Cabos'!$D$25:$L$29,9),"")))))</f>
        <v/>
      </c>
      <c r="U47" s="269" t="str">
        <f>IF(OR(N47="a",O47="a"),VLOOKUP("a",'Características dos Cabos'!$D$14:$K$18,8),IF(OR(N47="b",N47="c",O47="b",O47="c"),VLOOKUP("b",'Características dos Cabos'!$D$14:$K$18,8),IF(OR(N47="d",N47="e",O47="d",O47="e"),VLOOKUP("c",'Características dos Cabos'!$D$14:$K$18,8),IF(OR(N47="f",N47="g",N47="h",O47="f",O47="g",O47="h"),VLOOKUP("d",'Características dos Cabos'!$D$14:$K$18,8),IF(OR(N47="i",N47="j",N47="l",N47="m",O47="i",O48="j",O48="l",O48="m"),VLOOKUP("e",'Características dos Cabos'!$D$14:$K$18,8),"")))))</f>
        <v/>
      </c>
      <c r="V47" s="269" t="str">
        <f t="shared" si="6"/>
        <v/>
      </c>
      <c r="W47" s="268" t="str">
        <f t="shared" si="7"/>
        <v/>
      </c>
      <c r="X47" s="314" t="str">
        <f>IF(OR(N47="a",O47="a"),VLOOKUP("a",'Características dos Cabos'!$D$25:$L$29,3),IF(OR(N47="b",N47="c",O47="b",O47="c"),VLOOKUP("b",'Características dos Cabos'!$D$25:$L$29,3),IF(OR(N47="d",N47="e",O47="d",O47="e"),VLOOKUP("c",'Características dos Cabos'!$D$25:$L$29,3),IF(OR(N47="f",N47="g",N47="h",O47="f",O47="g",O47="h"),VLOOKUP("d",'Características dos Cabos'!$D$25:$L$29,3),IF(OR(N47="i",N47="j",N47="l",N47="m",O47="i",O47="j",O47="l",O47="m"),VLOOKUP("e",'Características dos Cabos'!$D$25:$L$29,3),"")))))</f>
        <v/>
      </c>
      <c r="Y47" s="314" t="str">
        <f>IF(OR(N47="a",O47="a"),VLOOKUP("a",'Características dos Cabos'!$D$14:$K$18,4),IF(OR(N47="b",N47="c",O47="b",O47="c"),VLOOKUP("b",'Características dos Cabos'!$D$14:$K$18,4),IF(OR(N47="d",N47="e",O47="d",O47="e"),VLOOKUP("c",'Características dos Cabos'!$D$14:$K$18,4),IF(OR(N47="f",N47="g",N47="h",O47="f",O47="g",O47="h"),VLOOKUP("d",'Características dos Cabos'!$D$14:$K$18,4),IF(OR(N47="i",N47="j",N47="l",N47="m",O47="i",O47="j",O47="l",O47="m"),VLOOKUP("e",'Características dos Cabos'!$D$14:$K$18,4),"")))))</f>
        <v/>
      </c>
      <c r="Z47" s="269" t="str">
        <f t="shared" si="8"/>
        <v/>
      </c>
      <c r="AA47" s="270" t="str">
        <f t="shared" si="11"/>
        <v/>
      </c>
      <c r="AB47" s="309"/>
      <c r="AC47" s="312">
        <f t="shared" si="12"/>
        <v>0</v>
      </c>
      <c r="AD47" s="312">
        <f t="shared" si="13"/>
        <v>0</v>
      </c>
      <c r="AE47" s="309"/>
    </row>
    <row r="48" spans="1:31" ht="13.5" customHeight="1" thickTop="1" thickBot="1">
      <c r="A48" s="2"/>
      <c r="B48" s="769"/>
      <c r="C48" s="73"/>
      <c r="D48" s="74"/>
      <c r="E48" s="75"/>
      <c r="F48" s="35"/>
      <c r="G48" s="56"/>
      <c r="H48" s="315" t="str">
        <f>IF(AND(E48="",G48=""),"",SUM(F48:G48))</f>
        <v/>
      </c>
      <c r="I48" s="287" t="str">
        <f>IF(OR(L48="",M48=""),"",IF(L48="3",VLOOKUP(N48,'K% (Rede Convencional)'!$B$18:$H$29,5),(IF(L48="2",VLOOKUP(O48,'K% (Rede Convencional)'!$B$18:$H$29,6),(IF(L48="1",VLOOKUP(O48,'K% (Rede Convencional)'!$B$18:$H$29,7)))))))</f>
        <v/>
      </c>
      <c r="J48" s="287" t="str">
        <f>IF(OR(L48="",M48=""),"",IF(L48="3",VLOOKUP(N48,'K% (Rede Convencional)'!$B$18:$E$29,2),(IF(L48="2",VLOOKUP(O48,'K% (Rede Convencional)'!$B$18:$E$29,3),(IF(L48="1",VLOOKUP(O48,'K% (Rede Convencional)'!$B$18:$E$29,4)))))))</f>
        <v/>
      </c>
      <c r="K48" s="287" t="str">
        <f t="shared" si="4"/>
        <v/>
      </c>
      <c r="L48" s="84"/>
      <c r="M48" s="84"/>
      <c r="N48" s="81"/>
      <c r="O48" s="82"/>
      <c r="P48" s="56"/>
      <c r="Q48" s="289" t="str">
        <f t="shared" si="5"/>
        <v/>
      </c>
      <c r="R48" s="289" t="str">
        <f>IF(Q48="","",SUM($Q$20:Q48))</f>
        <v/>
      </c>
      <c r="S48" s="289" t="str">
        <f t="shared" si="9"/>
        <v/>
      </c>
      <c r="T48" s="290" t="str">
        <f>IF(OR(N48="a",O48="a"),VLOOKUP("a",'Características dos Cabos'!$D$25:$L$29,9),IF(OR(N48="b",N48="c",O48="b",O48="c"),VLOOKUP("b",'Características dos Cabos'!$D$25:$L$29,9),IF(OR(N48="d",N48="e",O48="d",O48="e"),VLOOKUP("c",'Características dos Cabos'!$D$25:$L$29,9),IF(OR(N48="f",N48="g",N48="h",O48="f",O48="g",O48="h"),VLOOKUP("d",'Características dos Cabos'!$D$25:$L$29,9),IF(OR(N48="i",N48="j",N48="l",N48="m",O48="i",O49="j",O49="l",O49="m"),VLOOKUP("e",'Características dos Cabos'!$D$25:$L$29,9),"")))))</f>
        <v/>
      </c>
      <c r="U48" s="290" t="str">
        <f>IF(OR(N48="a",O48="a"),VLOOKUP("a",'Características dos Cabos'!$D$14:$K$18,8),IF(OR(N48="b",N48="c",O48="b",O48="c"),VLOOKUP("b",'Características dos Cabos'!$D$14:$K$18,8),IF(OR(N48="d",N48="e",O48="d",O48="e"),VLOOKUP("c",'Características dos Cabos'!$D$14:$K$18,8),IF(OR(N48="f",N48="g",N48="h",O48="f",O48="g",O48="h"),VLOOKUP("d",'Características dos Cabos'!$D$14:$K$18,8),IF(OR(N48="i",N48="j",N48="l",N48="m",O48="i",O49="j",O49="l",O49="m"),VLOOKUP("e",'Características dos Cabos'!$D$14:$K$18,8),"")))))</f>
        <v/>
      </c>
      <c r="V48" s="290" t="str">
        <f t="shared" si="6"/>
        <v/>
      </c>
      <c r="W48" s="289" t="str">
        <f t="shared" si="7"/>
        <v/>
      </c>
      <c r="X48" s="316" t="str">
        <f>IF(OR(N48="a",O48="a"),VLOOKUP("a",'Características dos Cabos'!$D$25:$L$29,3),IF(OR(N48="b",N48="c",O48="b",O48="c"),VLOOKUP("b",'Características dos Cabos'!$D$25:$L$29,3),IF(OR(N48="d",N48="e",O48="d",O48="e"),VLOOKUP("c",'Características dos Cabos'!$D$25:$L$29,3),IF(OR(N48="f",N48="g",N48="h",O48="f",O48="g",O48="h"),VLOOKUP("d",'Características dos Cabos'!$D$25:$L$29,3),IF(OR(N48="i",N48="j",N48="l",N48="m",O48="i",O48="j",O48="l",O48="m"),VLOOKUP("e",'Características dos Cabos'!$D$25:$L$29,3),"")))))</f>
        <v/>
      </c>
      <c r="Y48" s="316" t="str">
        <f>IF(OR(N48="a",O48="a"),VLOOKUP("a",'Características dos Cabos'!$D$14:$K$18,4),IF(OR(N48="b",N48="c",O48="b",O48="c"),VLOOKUP("b",'Características dos Cabos'!$D$14:$K$18,4),IF(OR(N48="d",N48="e",O48="d",O48="e"),VLOOKUP("c",'Características dos Cabos'!$D$14:$K$18,4),IF(OR(N48="f",N48="g",N48="h",O48="f",O48="g",O48="h"),VLOOKUP("d",'Características dos Cabos'!$D$14:$K$18,4),IF(OR(N48="i",N48="j",N48="l",N48="m",O48="i",O48="j",O48="l",O48="m"),VLOOKUP("e",'Características dos Cabos'!$D$14:$K$18,4),"")))))</f>
        <v/>
      </c>
      <c r="Z48" s="290" t="str">
        <f t="shared" si="8"/>
        <v/>
      </c>
      <c r="AA48" s="291" t="str">
        <f t="shared" si="11"/>
        <v/>
      </c>
      <c r="AB48" s="309"/>
      <c r="AC48" s="312">
        <f t="shared" si="12"/>
        <v>0</v>
      </c>
      <c r="AD48" s="312">
        <f t="shared" si="13"/>
        <v>0</v>
      </c>
      <c r="AE48" s="309"/>
    </row>
    <row r="49" spans="1:31" ht="13.5" customHeight="1" thickTop="1" thickBot="1">
      <c r="A49" s="2"/>
      <c r="B49" s="750" t="s">
        <v>230</v>
      </c>
      <c r="C49" s="59"/>
      <c r="D49" s="76"/>
      <c r="E49" s="68"/>
      <c r="F49" s="35" t="str">
        <f t="shared" si="3"/>
        <v/>
      </c>
      <c r="G49" s="69"/>
      <c r="H49" s="310" t="str">
        <f>IF(AND(E49="",G49=""),"",SUM(F49:G52))</f>
        <v/>
      </c>
      <c r="I49" s="279" t="str">
        <f>IF(OR(L49="",M49=""),"",IF(L49="3",VLOOKUP(N49,'K% (Rede Convencional)'!$B$18:$H$29,5),(IF(L49="2",VLOOKUP(O49,'K% (Rede Convencional)'!$B$18:$H$29,6),(IF(L49="1",VLOOKUP(O49,'K% (Rede Convencional)'!$B$18:$H$29,7)))))))</f>
        <v/>
      </c>
      <c r="J49" s="279" t="str">
        <f>IF(OR(L49="",M49=""),"",IF(L49="3",VLOOKUP(N49,'K% (Rede Convencional)'!$B$18:$E$29,2),(IF(L49="2",VLOOKUP(O49,'K% (Rede Convencional)'!$B$18:$E$29,3),(IF(L49="1",VLOOKUP(O49,'K% (Rede Convencional)'!$B$18:$E$29,4)))))))</f>
        <v/>
      </c>
      <c r="K49" s="279" t="str">
        <f t="shared" si="4"/>
        <v/>
      </c>
      <c r="L49" s="85"/>
      <c r="M49" s="85"/>
      <c r="N49" s="81">
        <f t="shared" si="10"/>
        <v>0</v>
      </c>
      <c r="O49" s="82" t="str">
        <f>IF(M49="","",IF(M49="4 (4)","a",IF(OR(M49="2 (4)",M49="2 (2)"),VLOOKUP(M49,mT!$AF$21:$AG$22,2,FALSE),IF(OR(M49="1/0 (4)",M49="1/0 (2)"),VLOOKUP(M49,mT!$AF$24:$AG$25,2,FALSE),IF(OR(M49="4/0 (4)",M49="4/0 (2)",M49="4/0 (1/0)"),VLOOKUP(M49,mT!$AF$27:$AG$29,2,FALSE),IF(OR(M49="336,4 (4)",M49="336,4 (2)",M49="336,4 (1/0)",M49="336,4 (4/0)"),VLOOKUP(M49,mT!$AF$31:$AG$34,2,FALSE),""))))))</f>
        <v/>
      </c>
      <c r="P49" s="69"/>
      <c r="Q49" s="280" t="str">
        <f t="shared" si="5"/>
        <v/>
      </c>
      <c r="R49" s="280" t="str">
        <f>IF(Q49="","",SUM($Q$20:Q49))</f>
        <v/>
      </c>
      <c r="S49" s="280" t="str">
        <f t="shared" si="9"/>
        <v/>
      </c>
      <c r="T49" s="281" t="str">
        <f>IF(OR(N49="a",O49="a"),VLOOKUP("a",'Características dos Cabos'!$D$25:$L$29,9),IF(OR(N49="b",N49="c",O49="b",O49="c"),VLOOKUP("b",'Características dos Cabos'!$D$25:$L$29,9),IF(OR(N49="d",N49="e",O49="d",O49="e"),VLOOKUP("c",'Características dos Cabos'!$D$25:$L$29,9),IF(OR(N49="f",N49="g",N49="h",O49="f",O49="g",O49="h"),VLOOKUP("d",'Características dos Cabos'!$D$25:$L$29,9),IF(OR(N49="i",N49="j",N49="l",N49="m",O49="i",O50="j",O50="l",O50="m"),VLOOKUP("e",'Características dos Cabos'!$D$25:$L$29,9),"")))))</f>
        <v/>
      </c>
      <c r="U49" s="281" t="str">
        <f>IF(OR(N49="a",O49="a"),VLOOKUP("a",'Características dos Cabos'!$D$14:$K$18,8),IF(OR(N49="b",N49="c",O49="b",O49="c"),VLOOKUP("b",'Características dos Cabos'!$D$14:$K$18,8),IF(OR(N49="d",N49="e",O49="d",O49="e"),VLOOKUP("c",'Características dos Cabos'!$D$14:$K$18,8),IF(OR(N49="f",N49="g",N49="h",O49="f",O49="g",O49="h"),VLOOKUP("d",'Características dos Cabos'!$D$14:$K$18,8),IF(OR(N49="i",N49="j",N49="l",N49="m",O49="i",O50="j",O50="l",O50="m"),VLOOKUP("e",'Características dos Cabos'!$D$14:$K$18,8),"")))))</f>
        <v/>
      </c>
      <c r="V49" s="281" t="str">
        <f t="shared" si="6"/>
        <v/>
      </c>
      <c r="W49" s="280" t="str">
        <f t="shared" si="7"/>
        <v/>
      </c>
      <c r="X49" s="311" t="str">
        <f>IF(OR(N49="a",O49="a"),VLOOKUP("a",'Características dos Cabos'!$D$25:$L$29,3),IF(OR(N49="b",N49="c",O49="b",O49="c"),VLOOKUP("b",'Características dos Cabos'!$D$25:$L$29,3),IF(OR(N49="d",N49="e",O49="d",O49="e"),VLOOKUP("c",'Características dos Cabos'!$D$25:$L$29,3),IF(OR(N49="f",N49="g",N49="h",O49="f",O49="g",O49="h"),VLOOKUP("d",'Características dos Cabos'!$D$25:$L$29,3),IF(OR(N49="i",N49="j",N49="l",N49="m",O49="i",O49="j",O49="l",O49="m"),VLOOKUP("e",'Características dos Cabos'!$D$25:$L$29,3),"")))))</f>
        <v/>
      </c>
      <c r="Y49" s="311" t="str">
        <f>IF(OR(N49="a",O49="a"),VLOOKUP("a",'Características dos Cabos'!$D$14:$K$18,4),IF(OR(N49="b",N49="c",O49="b",O49="c"),VLOOKUP("b",'Características dos Cabos'!$D$14:$K$18,4),IF(OR(N49="d",N49="e",O49="d",O49="e"),VLOOKUP("c",'Características dos Cabos'!$D$14:$K$18,4),IF(OR(N49="f",N49="g",N49="h",O49="f",O49="g",O49="h"),VLOOKUP("d",'Características dos Cabos'!$D$14:$K$18,4),IF(OR(N49="i",N49="j",N49="l",N49="m",O49="i",O49="j",O49="l",O49="m"),VLOOKUP("e",'Características dos Cabos'!$D$14:$K$18,4),"")))))</f>
        <v/>
      </c>
      <c r="Z49" s="281" t="str">
        <f t="shared" si="8"/>
        <v/>
      </c>
      <c r="AA49" s="282" t="str">
        <f t="shared" si="11"/>
        <v/>
      </c>
      <c r="AB49" s="455" t="e">
        <f>VLOOKUP(C49,$D$21:$R$35,12,FALSE)</f>
        <v>#N/A</v>
      </c>
      <c r="AC49" s="312">
        <f t="shared" si="12"/>
        <v>0</v>
      </c>
      <c r="AD49" s="312">
        <f t="shared" si="13"/>
        <v>0</v>
      </c>
      <c r="AE49" s="309"/>
    </row>
    <row r="50" spans="1:31" ht="14.25" customHeight="1" thickTop="1" thickBot="1">
      <c r="A50" s="2"/>
      <c r="B50" s="751"/>
      <c r="C50" s="70"/>
      <c r="D50" s="71"/>
      <c r="E50" s="72"/>
      <c r="F50" s="35" t="str">
        <f t="shared" si="3"/>
        <v/>
      </c>
      <c r="G50" s="55"/>
      <c r="H50" s="313" t="str">
        <f>IF(AND(E50="",G50=""),"",SUM(F50:G52))</f>
        <v/>
      </c>
      <c r="I50" s="266" t="str">
        <f>IF(OR(L50="",M50=""),"",IF(L50="3",VLOOKUP(N50,'K% (Rede Convencional)'!$B$18:$H$29,5),(IF(L50="2",VLOOKUP(O50,'K% (Rede Convencional)'!$B$18:$H$29,6),(IF(L50="1",VLOOKUP(O50,'K% (Rede Convencional)'!$B$18:$H$29,7)))))))</f>
        <v/>
      </c>
      <c r="J50" s="266" t="str">
        <f>IF(OR(L50="",M50=""),"",IF(L50="3",VLOOKUP(N50,'K% (Rede Convencional)'!$B$18:$E$29,2),(IF(L50="2",VLOOKUP(O50,'K% (Rede Convencional)'!$B$18:$E$29,3),(IF(L50="1",VLOOKUP(O50,'K% (Rede Convencional)'!$B$18:$E$29,4)))))))</f>
        <v/>
      </c>
      <c r="K50" s="266" t="str">
        <f t="shared" si="4"/>
        <v/>
      </c>
      <c r="L50" s="83"/>
      <c r="M50" s="83"/>
      <c r="N50" s="81">
        <f t="shared" si="10"/>
        <v>0</v>
      </c>
      <c r="O50" s="82" t="str">
        <f>IF(M50="","",IF(M50="4 (4)","a",IF(OR(M50="2 (4)",M50="2 (2)"),VLOOKUP(M50,mT!$AF$21:$AG$22,2,FALSE),IF(OR(M50="1/0 (4)",M50="1/0 (2)"),VLOOKUP(M50,mT!$AF$24:$AG$25,2,FALSE),IF(OR(M50="4/0 (4)",M50="4/0 (2)",M50="4/0 (1/0)"),VLOOKUP(M50,mT!$AF$27:$AG$29,2,FALSE),IF(OR(M50="336,4 (4)",M50="336,4 (2)",M50="336,4 (1/0)",M50="336,4 (4/0)"),VLOOKUP(M50,mT!$AF$31:$AG$34,2,FALSE),""))))))</f>
        <v/>
      </c>
      <c r="P50" s="55"/>
      <c r="Q50" s="268" t="str">
        <f t="shared" si="5"/>
        <v/>
      </c>
      <c r="R50" s="268" t="str">
        <f>IF(Q50="","",SUM($Q$20:Q50))</f>
        <v/>
      </c>
      <c r="S50" s="268" t="str">
        <f t="shared" si="9"/>
        <v/>
      </c>
      <c r="T50" s="269" t="str">
        <f>IF(OR(N50="a",O50="a"),VLOOKUP("a",'Características dos Cabos'!$D$25:$L$29,9),IF(OR(N50="b",N50="c",O50="b",O50="c"),VLOOKUP("b",'Características dos Cabos'!$D$25:$L$29,9),IF(OR(N50="d",N50="e",O50="d",O50="e"),VLOOKUP("c",'Características dos Cabos'!$D$25:$L$29,9),IF(OR(N50="f",N50="g",N50="h",O50="f",O50="g",O50="h"),VLOOKUP("d",'Características dos Cabos'!$D$25:$L$29,9),IF(OR(N50="i",N50="j",N50="l",N50="m",O50="i",O51="j",O51="l",O51="m"),VLOOKUP("e",'Características dos Cabos'!$D$25:$L$29,9),"")))))</f>
        <v/>
      </c>
      <c r="U50" s="269" t="str">
        <f>IF(OR(N50="a",O50="a"),VLOOKUP("a",'Características dos Cabos'!$D$14:$K$18,8),IF(OR(N50="b",N50="c",O50="b",O50="c"),VLOOKUP("b",'Características dos Cabos'!$D$14:$K$18,8),IF(OR(N50="d",N50="e",O50="d",O50="e"),VLOOKUP("c",'Características dos Cabos'!$D$14:$K$18,8),IF(OR(N50="f",N50="g",N50="h",O50="f",O50="g",O50="h"),VLOOKUP("d",'Características dos Cabos'!$D$14:$K$18,8),IF(OR(N50="i",N50="j",N50="l",N50="m",O50="i",O51="j",O51="l",O51="m"),VLOOKUP("e",'Características dos Cabos'!$D$14:$K$18,8),"")))))</f>
        <v/>
      </c>
      <c r="V50" s="269" t="str">
        <f t="shared" si="6"/>
        <v/>
      </c>
      <c r="W50" s="268" t="str">
        <f t="shared" si="7"/>
        <v/>
      </c>
      <c r="X50" s="314" t="str">
        <f>IF(OR(N50="a",O50="a"),VLOOKUP("a",'Características dos Cabos'!$D$25:$L$29,3),IF(OR(N50="b",N50="c",O50="b",O50="c"),VLOOKUP("b",'Características dos Cabos'!$D$25:$L$29,3),IF(OR(N50="d",N50="e",O50="d",O50="e"),VLOOKUP("c",'Características dos Cabos'!$D$25:$L$29,3),IF(OR(N50="f",N50="g",N50="h",O50="f",O50="g",O50="h"),VLOOKUP("d",'Características dos Cabos'!$D$25:$L$29,3),IF(OR(N50="i",N50="j",N50="l",N50="m",O50="i",O50="j",O50="l",O50="m"),VLOOKUP("e",'Características dos Cabos'!$D$25:$L$29,3),"")))))</f>
        <v/>
      </c>
      <c r="Y50" s="314" t="str">
        <f>IF(OR(N50="a",O50="a"),VLOOKUP("a",'Características dos Cabos'!$D$14:$K$18,4),IF(OR(N50="b",N50="c",O50="b",O50="c"),VLOOKUP("b",'Características dos Cabos'!$D$14:$K$18,4),IF(OR(N50="d",N50="e",O50="d",O50="e"),VLOOKUP("c",'Características dos Cabos'!$D$14:$K$18,4),IF(OR(N50="f",N50="g",N50="h",O50="f",O50="g",O50="h"),VLOOKUP("d",'Características dos Cabos'!$D$14:$K$18,4),IF(OR(N50="i",N50="j",N50="l",N50="m",O50="i",O50="j",O50="l",O50="m"),VLOOKUP("e",'Características dos Cabos'!$D$14:$K$18,4),"")))))</f>
        <v/>
      </c>
      <c r="Z50" s="269" t="str">
        <f t="shared" si="8"/>
        <v/>
      </c>
      <c r="AA50" s="270" t="str">
        <f t="shared" si="11"/>
        <v/>
      </c>
      <c r="AB50" s="309"/>
      <c r="AC50" s="312">
        <f t="shared" si="12"/>
        <v>0</v>
      </c>
      <c r="AD50" s="312">
        <f t="shared" si="13"/>
        <v>0</v>
      </c>
      <c r="AE50" s="309"/>
    </row>
    <row r="51" spans="1:31" ht="13.5" customHeight="1" thickTop="1" thickBot="1">
      <c r="A51" s="2"/>
      <c r="B51" s="751"/>
      <c r="C51" s="70"/>
      <c r="D51" s="71"/>
      <c r="E51" s="72"/>
      <c r="F51" s="35" t="str">
        <f t="shared" si="3"/>
        <v/>
      </c>
      <c r="G51" s="55"/>
      <c r="H51" s="313" t="str">
        <f>IF(AND(E51="",G51=""),"",SUM(F51:G52))</f>
        <v/>
      </c>
      <c r="I51" s="266" t="str">
        <f>IF(OR(L51="",M51=""),"",IF(L51="3",VLOOKUP(N51,'K% (Rede Convencional)'!$B$18:$H$29,5),(IF(L51="2",VLOOKUP(O51,'K% (Rede Convencional)'!$B$18:$H$29,6),(IF(L51="1",VLOOKUP(O51,'K% (Rede Convencional)'!$B$18:$H$29,7)))))))</f>
        <v/>
      </c>
      <c r="J51" s="266" t="str">
        <f>IF(OR(L51="",M51=""),"",IF(L51="3",VLOOKUP(N51,'K% (Rede Convencional)'!$B$18:$E$29,2),(IF(L51="2",VLOOKUP(O51,'K% (Rede Convencional)'!$B$18:$E$29,3),(IF(L51="1",VLOOKUP(O51,'K% (Rede Convencional)'!$B$18:$E$29,4)))))))</f>
        <v/>
      </c>
      <c r="K51" s="266" t="str">
        <f t="shared" si="4"/>
        <v/>
      </c>
      <c r="L51" s="83"/>
      <c r="M51" s="83"/>
      <c r="N51" s="81">
        <f t="shared" si="10"/>
        <v>0</v>
      </c>
      <c r="O51" s="82" t="str">
        <f>IF(M51="","",IF(M51="4 (4)","a",IF(OR(M51="2 (4)",M51="2 (2)"),VLOOKUP(M51,mT!$AF$21:$AG$22,2,FALSE),IF(OR(M51="1/0 (4)",M51="1/0 (2)"),VLOOKUP(M51,mT!$AF$24:$AG$25,2,FALSE),IF(OR(M51="4/0 (4)",M51="4/0 (2)",M51="4/0 (1/0)"),VLOOKUP(M51,mT!$AF$27:$AG$29,2,FALSE),IF(OR(M51="336,4 (4)",M51="336,4 (2)",M51="336,4 (1/0)",M51="336,4 (4/0)"),VLOOKUP(M51,mT!$AF$31:$AG$34,2,FALSE),""))))))</f>
        <v/>
      </c>
      <c r="P51" s="55"/>
      <c r="Q51" s="268" t="str">
        <f t="shared" si="5"/>
        <v/>
      </c>
      <c r="R51" s="268" t="str">
        <f>IF(Q51="","",SUM($Q$20:Q51))</f>
        <v/>
      </c>
      <c r="S51" s="268" t="str">
        <f t="shared" si="9"/>
        <v/>
      </c>
      <c r="T51" s="269" t="str">
        <f>IF(OR(N51="a",O51="a"),VLOOKUP("a",'Características dos Cabos'!$D$25:$L$29,9),IF(OR(N51="b",N51="c",O51="b",O51="c"),VLOOKUP("b",'Características dos Cabos'!$D$25:$L$29,9),IF(OR(N51="d",N51="e",O51="d",O51="e"),VLOOKUP("c",'Características dos Cabos'!$D$25:$L$29,9),IF(OR(N51="f",N51="g",N51="h",O51="f",O51="g",O51="h"),VLOOKUP("d",'Características dos Cabos'!$D$25:$L$29,9),IF(OR(N51="i",N51="j",N51="l",N51="m",O51="i",O52="j",O52="l",O52="m"),VLOOKUP("e",'Características dos Cabos'!$D$25:$L$29,9),"")))))</f>
        <v/>
      </c>
      <c r="U51" s="269" t="str">
        <f>IF(OR(N51="a",O51="a"),VLOOKUP("a",'Características dos Cabos'!$D$14:$K$18,8),IF(OR(N51="b",N51="c",O51="b",O51="c"),VLOOKUP("b",'Características dos Cabos'!$D$14:$K$18,8),IF(OR(N51="d",N51="e",O51="d",O51="e"),VLOOKUP("c",'Características dos Cabos'!$D$14:$K$18,8),IF(OR(N51="f",N51="g",N51="h",O51="f",O51="g",O51="h"),VLOOKUP("d",'Características dos Cabos'!$D$14:$K$18,8),IF(OR(N51="i",N51="j",N51="l",N51="m",O51="i",O52="j",O52="l",O52="m"),VLOOKUP("e",'Características dos Cabos'!$D$14:$K$18,8),"")))))</f>
        <v/>
      </c>
      <c r="V51" s="269" t="str">
        <f t="shared" si="6"/>
        <v/>
      </c>
      <c r="W51" s="268" t="str">
        <f t="shared" si="7"/>
        <v/>
      </c>
      <c r="X51" s="314" t="str">
        <f>IF(OR(N51="a",O51="a"),VLOOKUP("a",'Características dos Cabos'!$D$25:$L$29,3),IF(OR(N51="b",N51="c",O51="b",O51="c"),VLOOKUP("b",'Características dos Cabos'!$D$25:$L$29,3),IF(OR(N51="d",N51="e",O51="d",O51="e"),VLOOKUP("c",'Características dos Cabos'!$D$25:$L$29,3),IF(OR(N51="f",N51="g",N51="h",O51="f",O51="g",O51="h"),VLOOKUP("d",'Características dos Cabos'!$D$25:$L$29,3),IF(OR(N51="i",N51="j",N51="l",N51="m",O51="i",O51="j",O51="l",O51="m"),VLOOKUP("e",'Características dos Cabos'!$D$25:$L$29,3),"")))))</f>
        <v/>
      </c>
      <c r="Y51" s="314" t="str">
        <f>IF(OR(N51="a",O51="a"),VLOOKUP("a",'Características dos Cabos'!$D$14:$K$18,4),IF(OR(N51="b",N51="c",O51="b",O51="c"),VLOOKUP("b",'Características dos Cabos'!$D$14:$K$18,4),IF(OR(N51="d",N51="e",O51="d",O51="e"),VLOOKUP("c",'Características dos Cabos'!$D$14:$K$18,4),IF(OR(N51="f",N51="g",N51="h",O51="f",O51="g",O51="h"),VLOOKUP("d",'Características dos Cabos'!$D$14:$K$18,4),IF(OR(N51="i",N51="j",N51="l",N51="m",O51="i",O51="j",O51="l",O51="m"),VLOOKUP("e",'Características dos Cabos'!$D$14:$K$18,4),"")))))</f>
        <v/>
      </c>
      <c r="Z51" s="269" t="str">
        <f t="shared" si="8"/>
        <v/>
      </c>
      <c r="AA51" s="270" t="str">
        <f t="shared" si="11"/>
        <v/>
      </c>
      <c r="AB51" s="309"/>
      <c r="AC51" s="312">
        <f t="shared" si="12"/>
        <v>0</v>
      </c>
      <c r="AD51" s="312">
        <f t="shared" si="13"/>
        <v>0</v>
      </c>
      <c r="AE51" s="309"/>
    </row>
    <row r="52" spans="1:31" ht="13.5" customHeight="1" thickTop="1" thickBot="1">
      <c r="A52" s="2"/>
      <c r="B52" s="752"/>
      <c r="C52" s="73"/>
      <c r="D52" s="74"/>
      <c r="E52" s="75"/>
      <c r="F52" s="35" t="str">
        <f t="shared" si="3"/>
        <v/>
      </c>
      <c r="G52" s="56"/>
      <c r="H52" s="315" t="str">
        <f>IF(AND(E52="",G52=""),"",SUM(F52:G52))</f>
        <v/>
      </c>
      <c r="I52" s="287" t="str">
        <f>IF(OR(L52="",M52=""),"",IF(L52="3",VLOOKUP(N52,'K% (Rede Convencional)'!$B$18:$H$29,5),(IF(L52="2",VLOOKUP(O52,'K% (Rede Convencional)'!$B$18:$H$29,6),(IF(L52="1",VLOOKUP(O52,'K% (Rede Convencional)'!$B$18:$H$29,7)))))))</f>
        <v/>
      </c>
      <c r="J52" s="287" t="str">
        <f>IF(OR(L52="",M52=""),"",IF(L52="3",VLOOKUP(N52,'K% (Rede Convencional)'!$B$18:$E$29,2),(IF(L52="2",VLOOKUP(O52,'K% (Rede Convencional)'!$B$18:$E$29,3),(IF(L52="1",VLOOKUP(O52,'K% (Rede Convencional)'!$B$18:$E$29,4)))))))</f>
        <v/>
      </c>
      <c r="K52" s="287" t="str">
        <f t="shared" si="4"/>
        <v/>
      </c>
      <c r="L52" s="84"/>
      <c r="M52" s="84"/>
      <c r="N52" s="81">
        <f t="shared" si="10"/>
        <v>0</v>
      </c>
      <c r="O52" s="82" t="str">
        <f>IF(M52="","",IF(M52="4 (4)","a",IF(OR(M52="2 (4)",M52="2 (2)"),VLOOKUP(M52,mT!$AF$21:$AG$22,2,FALSE),IF(OR(M52="1/0 (4)",M52="1/0 (2)"),VLOOKUP(M52,mT!$AF$24:$AG$25,2,FALSE),IF(OR(M52="4/0 (4)",M52="4/0 (2)",M52="4/0 (1/0)"),VLOOKUP(M52,mT!$AF$27:$AG$29,2,FALSE),IF(OR(M52="336,4 (4)",M52="336,4 (2)",M52="336,4 (1/0)",M52="336,4 (4/0)"),VLOOKUP(M52,mT!$AF$31:$AG$34,2,FALSE),""))))))</f>
        <v/>
      </c>
      <c r="P52" s="56"/>
      <c r="Q52" s="289" t="str">
        <f t="shared" si="5"/>
        <v/>
      </c>
      <c r="R52" s="289" t="str">
        <f>IF(Q52="","",SUM($Q$20:Q52))</f>
        <v/>
      </c>
      <c r="S52" s="289" t="str">
        <f t="shared" si="9"/>
        <v/>
      </c>
      <c r="T52" s="290" t="str">
        <f>IF(OR(N52="a",O52="a"),VLOOKUP("a",'Características dos Cabos'!$D$25:$L$29,9),IF(OR(N52="b",N52="c",O52="b",O52="c"),VLOOKUP("b",'Características dos Cabos'!$D$25:$L$29,9),IF(OR(N52="d",N52="e",O52="d",O52="e"),VLOOKUP("c",'Características dos Cabos'!$D$25:$L$29,9),IF(OR(N52="f",N52="g",N52="h",O52="f",O52="g",O52="h"),VLOOKUP("d",'Características dos Cabos'!$D$25:$L$29,9),IF(OR(N52="i",N52="j",N52="l",N52="m",O52="i",O77="j",O77="l",O77="m"),VLOOKUP("e",'Características dos Cabos'!$D$25:$L$29,9),"")))))</f>
        <v/>
      </c>
      <c r="U52" s="290" t="str">
        <f>IF(OR(N52="a",O52="a"),VLOOKUP("a",'Características dos Cabos'!$D$14:$K$18,8),IF(OR(N52="b",N52="c",O52="b",O52="c"),VLOOKUP("b",'Características dos Cabos'!$D$14:$K$18,8),IF(OR(N52="d",N52="e",O52="d",O52="e"),VLOOKUP("c",'Características dos Cabos'!$D$14:$K$18,8),IF(OR(N52="f",N52="g",N52="h",O52="f",O52="g",O52="h"),VLOOKUP("d",'Características dos Cabos'!$D$14:$K$18,8),IF(OR(N52="i",N52="j",N52="l",N52="m",O52="i",O77="j",O77="l",O77="m"),VLOOKUP("e",'Características dos Cabos'!$D$14:$K$18,8),"")))))</f>
        <v/>
      </c>
      <c r="V52" s="290" t="str">
        <f t="shared" si="6"/>
        <v/>
      </c>
      <c r="W52" s="289" t="str">
        <f t="shared" si="7"/>
        <v/>
      </c>
      <c r="X52" s="316" t="str">
        <f>IF(OR(N52="a",O52="a"),VLOOKUP("a",'Características dos Cabos'!$D$25:$L$29,3),IF(OR(N52="b",N52="c",O52="b",O52="c"),VLOOKUP("b",'Características dos Cabos'!$D$25:$L$29,3),IF(OR(N52="d",N52="e",O52="d",O52="e"),VLOOKUP("c",'Características dos Cabos'!$D$25:$L$29,3),IF(OR(N52="f",N52="g",N52="h",O52="f",O52="g",O52="h"),VLOOKUP("d",'Características dos Cabos'!$D$25:$L$29,3),IF(OR(N52="i",N52="j",N52="l",N52="m",O52="i",O52="j",O52="l",O52="m"),VLOOKUP("e",'Características dos Cabos'!$D$25:$L$29,3),"")))))</f>
        <v/>
      </c>
      <c r="Y52" s="316" t="str">
        <f>IF(OR(N52="a",O52="a"),VLOOKUP("a",'Características dos Cabos'!$D$14:$K$18,4),IF(OR(N52="b",N52="c",O52="b",O52="c"),VLOOKUP("b",'Características dos Cabos'!$D$14:$K$18,4),IF(OR(N52="d",N52="e",O52="d",O52="e"),VLOOKUP("c",'Características dos Cabos'!$D$14:$K$18,4),IF(OR(N52="f",N52="g",N52="h",O52="f",O52="g",O52="h"),VLOOKUP("d",'Características dos Cabos'!$D$14:$K$18,4),IF(OR(N52="i",N52="j",N52="l",N52="m",O52="i",O52="j",O52="l",O52="m"),VLOOKUP("e",'Características dos Cabos'!$D$14:$K$18,4),"")))))</f>
        <v/>
      </c>
      <c r="Z52" s="290" t="str">
        <f t="shared" si="8"/>
        <v/>
      </c>
      <c r="AA52" s="291" t="str">
        <f t="shared" si="11"/>
        <v/>
      </c>
      <c r="AB52" s="309"/>
      <c r="AC52" s="312">
        <f t="shared" si="12"/>
        <v>0</v>
      </c>
      <c r="AD52" s="312">
        <f t="shared" si="13"/>
        <v>0</v>
      </c>
      <c r="AE52" s="309"/>
    </row>
    <row r="53" spans="1:31" ht="13.5" customHeight="1" thickTop="1" thickBot="1">
      <c r="A53" s="2"/>
      <c r="B53" s="750" t="s">
        <v>231</v>
      </c>
      <c r="C53" s="59"/>
      <c r="D53" s="76"/>
      <c r="E53" s="68"/>
      <c r="F53" s="35" t="str">
        <f t="shared" si="3"/>
        <v/>
      </c>
      <c r="G53" s="69"/>
      <c r="H53" s="310" t="str">
        <f>IF(AND(E53="",G53=""),"",SUM(F53:G56))</f>
        <v/>
      </c>
      <c r="I53" s="279" t="str">
        <f>IF(OR(L53="",M53=""),"",IF(L53="3",VLOOKUP(N53,'K% (Rede Convencional)'!$B$18:$H$29,5),(IF(L53="2",VLOOKUP(O53,'K% (Rede Convencional)'!$B$18:$H$29,6),(IF(L53="1",VLOOKUP(O53,'K% (Rede Convencional)'!$B$18:$H$29,7)))))))</f>
        <v/>
      </c>
      <c r="J53" s="279" t="str">
        <f>IF(OR(L53="",M53=""),"",IF(L53="3",VLOOKUP(N53,'K% (Rede Convencional)'!$B$18:$E$29,2),(IF(L53="2",VLOOKUP(O53,'K% (Rede Convencional)'!$B$18:$E$29,3),(IF(L53="1",VLOOKUP(O53,'K% (Rede Convencional)'!$B$18:$E$29,4)))))))</f>
        <v/>
      </c>
      <c r="K53" s="279" t="str">
        <f t="shared" si="14" ref="K53:K76">IF(OR(I53="",J53=""),"",(IF(OR($D$16="CAA",$D$16="caa"),J53,(IF(OR($D$16="CA",$D$16="ca"),I53)))))</f>
        <v/>
      </c>
      <c r="L53" s="85"/>
      <c r="M53" s="85"/>
      <c r="N53" s="77">
        <f t="shared" si="10"/>
        <v>0</v>
      </c>
      <c r="O53" s="82" t="str">
        <f>IF(M53="","",IF(M53="4 (4)","a",IF(OR(M53="2 (4)",M53="2 (2)"),VLOOKUP(M53,mT!$AF$21:$AG$22,2,FALSE),IF(OR(M53="1/0 (4)",M53="1/0 (2)"),VLOOKUP(M53,mT!$AF$24:$AG$25,2,FALSE),IF(OR(M53="4/0 (4)",M53="4/0 (2)",M53="4/0 (1/0)"),VLOOKUP(M53,mT!$AF$27:$AG$29,2,FALSE),IF(OR(M53="336,4 (4)",M53="336,4 (2)",M53="336,4 (1/0)",M53="336,4 (4/0)"),VLOOKUP(M53,mT!$AF$31:$AG$34,2,FALSE),""))))))</f>
        <v/>
      </c>
      <c r="P53" s="69"/>
      <c r="Q53" s="280" t="str">
        <f t="shared" si="15" ref="Q53:Q76">IF(OR(H53="",K53="",P53=""),"",K53*H53*P53)</f>
        <v/>
      </c>
      <c r="R53" s="280" t="str">
        <f>IF(Q53="","",SUM($Q$20:Q53))</f>
        <v/>
      </c>
      <c r="S53" s="280" t="str">
        <f t="shared" si="16" ref="S53:S76">IF(H53="","",IF(L53="3",H53*1000/($D$14*SQRT(3)),IF(L53="2",H53*1000*SQRT(3)/($D$14*2),IF(L53="1",H53*1000*SQRT(3)/$D$14))))</f>
        <v/>
      </c>
      <c r="T53" s="281" t="str">
        <f>IF(OR(N53="a",O53="a"),VLOOKUP("a",'Características dos Cabos'!$D$25:$L$29,9),IF(OR(N53="b",N53="c",O53="b",O53="c"),VLOOKUP("b",'Características dos Cabos'!$D$25:$L$29,9),IF(OR(N53="d",N53="e",O53="d",O53="e"),VLOOKUP("c",'Características dos Cabos'!$D$25:$L$29,9),IF(OR(N53="f",N53="g",N53="h",O53="f",O53="g",O53="h"),VLOOKUP("d",'Características dos Cabos'!$D$25:$L$29,9),IF(OR(N53="i",N53="j",N53="l",N53="m",O53="i",O54="j",O54="l",O54="m"),VLOOKUP("e",'Características dos Cabos'!$D$25:$L$29,9),"")))))</f>
        <v/>
      </c>
      <c r="U53" s="281" t="str">
        <f>IF(OR(N53="a",O53="a"),VLOOKUP("a",'Características dos Cabos'!$D$14:$K$18,8),IF(OR(N53="b",N53="c",O53="b",O53="c"),VLOOKUP("b",'Características dos Cabos'!$D$14:$K$18,8),IF(OR(N53="d",N53="e",O53="d",O53="e"),VLOOKUP("c",'Características dos Cabos'!$D$14:$K$18,8),IF(OR(N53="f",N53="g",N53="h",O53="f",O53="g",O53="h"),VLOOKUP("d",'Características dos Cabos'!$D$14:$K$18,8),IF(OR(N53="i",N53="j",N53="l",N53="m",O53="i",O54="j",O54="l",O54="m"),VLOOKUP("e",'Características dos Cabos'!$D$14:$K$18,8),"")))))</f>
        <v/>
      </c>
      <c r="V53" s="281" t="str">
        <f t="shared" si="17" ref="V53:V76">IF(AND(T53="",U53=""),"",(IF(OR($D$16="CAA",$D$16="caa"),U53,(IF(OR($D$16="CA",$D$16="ca"),T53)))))</f>
        <v/>
      </c>
      <c r="W53" s="280" t="str">
        <f t="shared" si="18" ref="W53:W76">IF(OR(N53="",S53="",T53=""),"",S53*100/T53)</f>
        <v/>
      </c>
      <c r="X53" s="311" t="str">
        <f>IF(OR(N53="a",O53="a"),VLOOKUP("a",'Características dos Cabos'!$D$25:$L$29,3),IF(OR(N53="b",N53="c",O53="b",O53="c"),VLOOKUP("b",'Características dos Cabos'!$D$25:$L$29,3),IF(OR(N53="d",N53="e",O53="d",O53="e"),VLOOKUP("c",'Características dos Cabos'!$D$25:$L$29,3),IF(OR(N53="f",N53="g",N53="h",O53="f",O53="g",O53="h"),VLOOKUP("d",'Características dos Cabos'!$D$25:$L$29,3),IF(OR(N53="i",N53="j",N53="l",N53="m",O53="i",O53="j",O53="l",O53="m"),VLOOKUP("e",'Características dos Cabos'!$D$25:$L$29,3),"")))))</f>
        <v/>
      </c>
      <c r="Y53" s="311" t="str">
        <f>IF(OR(N53="a",O53="a"),VLOOKUP("a",'Características dos Cabos'!$D$14:$K$18,4),IF(OR(N53="b",N53="c",O53="b",O53="c"),VLOOKUP("b",'Características dos Cabos'!$D$14:$K$18,4),IF(OR(N53="d",N53="e",O53="d",O53="e"),VLOOKUP("c",'Características dos Cabos'!$D$14:$K$18,4),IF(OR(N53="f",N53="g",N53="h",O53="f",O53="g",O53="h"),VLOOKUP("d",'Características dos Cabos'!$D$14:$K$18,4),IF(OR(N53="i",N53="j",N53="l",N53="m",O53="i",O53="j",O53="l",O53="m"),VLOOKUP("e",'Características dos Cabos'!$D$14:$K$18,4),"")))))</f>
        <v/>
      </c>
      <c r="Z53" s="281" t="str">
        <f t="shared" si="19" ref="Z53:Z76">IF(AND(X53="",Y53=""),"",(IF(OR($D$16="CAA",$D$16="caa"),Y53,(IF(OR($D$16="CA",$D$16="ca"),X53)))))</f>
        <v/>
      </c>
      <c r="AA53" s="282" t="str">
        <f t="shared" si="20" ref="AA53:AA76">IF(OR(P53="",$G$16="",H53="",N53=""),"",IF(L53="3",3*$K$14*Z53*P53*((S53)^2)*8.76,IF(L53="2",2*$K$14*Z53*P53*((S53)^2)*8.76,IF(L53="1",$K$14*Z53*P53*((S53)^2)*8.76))))</f>
        <v/>
      </c>
      <c r="AB53" s="455" t="e">
        <f>VLOOKUP(C53,$D$21:$R$35,12,FALSE)</f>
        <v>#N/A</v>
      </c>
      <c r="AC53" s="312">
        <f t="shared" si="21" ref="AC53:AC76">D53</f>
        <v>0</v>
      </c>
      <c r="AD53" s="312">
        <f t="shared" si="22" ref="AD53:AD76">M53</f>
        <v>0</v>
      </c>
      <c r="AE53" s="309"/>
    </row>
    <row r="54" spans="1:31" ht="14.25" customHeight="1" thickTop="1" thickBot="1">
      <c r="A54" s="2"/>
      <c r="B54" s="751"/>
      <c r="C54" s="70"/>
      <c r="D54" s="71"/>
      <c r="E54" s="72"/>
      <c r="F54" s="35" t="str">
        <f t="shared" si="3"/>
        <v/>
      </c>
      <c r="G54" s="55"/>
      <c r="H54" s="313" t="str">
        <f>IF(AND(E54="",G54=""),"",SUM(F54:G56))</f>
        <v/>
      </c>
      <c r="I54" s="266" t="str">
        <f>IF(OR(L54="",M54=""),"",IF(L54="3",VLOOKUP(N54,'K% (Rede Convencional)'!$B$18:$H$29,5),(IF(L54="2",VLOOKUP(O54,'K% (Rede Convencional)'!$B$18:$H$29,6),(IF(L54="1",VLOOKUP(O54,'K% (Rede Convencional)'!$B$18:$H$29,7)))))))</f>
        <v/>
      </c>
      <c r="J54" s="266" t="str">
        <f>IF(OR(L54="",M54=""),"",IF(L54="3",VLOOKUP(N54,'K% (Rede Convencional)'!$B$18:$E$29,2),(IF(L54="2",VLOOKUP(O54,'K% (Rede Convencional)'!$B$18:$E$29,3),(IF(L54="1",VLOOKUP(O54,'K% (Rede Convencional)'!$B$18:$E$29,4)))))))</f>
        <v/>
      </c>
      <c r="K54" s="266" t="str">
        <f t="shared" si="14"/>
        <v/>
      </c>
      <c r="L54" s="83"/>
      <c r="M54" s="83"/>
      <c r="N54" s="79">
        <f t="shared" si="10"/>
        <v>0</v>
      </c>
      <c r="O54" s="82" t="str">
        <f>IF(M54="","",IF(M54="4 (4)","a",IF(OR(M54="2 (4)",M54="2 (2)"),VLOOKUP(M54,mT!$AF$21:$AG$22,2,FALSE),IF(OR(M54="1/0 (4)",M54="1/0 (2)"),VLOOKUP(M54,mT!$AF$24:$AG$25,2,FALSE),IF(OR(M54="4/0 (4)",M54="4/0 (2)",M54="4/0 (1/0)"),VLOOKUP(M54,mT!$AF$27:$AG$29,2,FALSE),IF(OR(M54="336,4 (4)",M54="336,4 (2)",M54="336,4 (1/0)",M54="336,4 (4/0)"),VLOOKUP(M54,mT!$AF$31:$AG$34,2,FALSE),""))))))</f>
        <v/>
      </c>
      <c r="P54" s="55"/>
      <c r="Q54" s="268" t="str">
        <f t="shared" si="15"/>
        <v/>
      </c>
      <c r="R54" s="268" t="str">
        <f>IF(Q54="","",SUM($Q$20:Q54))</f>
        <v/>
      </c>
      <c r="S54" s="268" t="str">
        <f t="shared" si="16"/>
        <v/>
      </c>
      <c r="T54" s="269" t="str">
        <f>IF(OR(N54="a",O54="a"),VLOOKUP("a",'Características dos Cabos'!$D$25:$L$29,9),IF(OR(N54="b",N54="c",O54="b",O54="c"),VLOOKUP("b",'Características dos Cabos'!$D$25:$L$29,9),IF(OR(N54="d",N54="e",O54="d",O54="e"),VLOOKUP("c",'Características dos Cabos'!$D$25:$L$29,9),IF(OR(N54="f",N54="g",N54="h",O54="f",O54="g",O54="h"),VLOOKUP("d",'Características dos Cabos'!$D$25:$L$29,9),IF(OR(N54="i",N54="j",N54="l",N54="m",O54="i",O55="j",O55="l",O55="m"),VLOOKUP("e",'Características dos Cabos'!$D$25:$L$29,9),"")))))</f>
        <v/>
      </c>
      <c r="U54" s="269" t="str">
        <f>IF(OR(N54="a",O54="a"),VLOOKUP("a",'Características dos Cabos'!$D$14:$K$18,8),IF(OR(N54="b",N54="c",O54="b",O54="c"),VLOOKUP("b",'Características dos Cabos'!$D$14:$K$18,8),IF(OR(N54="d",N54="e",O54="d",O54="e"),VLOOKUP("c",'Características dos Cabos'!$D$14:$K$18,8),IF(OR(N54="f",N54="g",N54="h",O54="f",O54="g",O54="h"),VLOOKUP("d",'Características dos Cabos'!$D$14:$K$18,8),IF(OR(N54="i",N54="j",N54="l",N54="m",O54="i",O55="j",O55="l",O55="m"),VLOOKUP("e",'Características dos Cabos'!$D$14:$K$18,8),"")))))</f>
        <v/>
      </c>
      <c r="V54" s="269" t="str">
        <f t="shared" si="17"/>
        <v/>
      </c>
      <c r="W54" s="268" t="str">
        <f t="shared" si="18"/>
        <v/>
      </c>
      <c r="X54" s="314" t="str">
        <f>IF(OR(N54="a",O54="a"),VLOOKUP("a",'Características dos Cabos'!$D$25:$L$29,3),IF(OR(N54="b",N54="c",O54="b",O54="c"),VLOOKUP("b",'Características dos Cabos'!$D$25:$L$29,3),IF(OR(N54="d",N54="e",O54="d",O54="e"),VLOOKUP("c",'Características dos Cabos'!$D$25:$L$29,3),IF(OR(N54="f",N54="g",N54="h",O54="f",O54="g",O54="h"),VLOOKUP("d",'Características dos Cabos'!$D$25:$L$29,3),IF(OR(N54="i",N54="j",N54="l",N54="m",O54="i",O54="j",O54="l",O54="m"),VLOOKUP("e",'Características dos Cabos'!$D$25:$L$29,3),"")))))</f>
        <v/>
      </c>
      <c r="Y54" s="314" t="str">
        <f>IF(OR(N54="a",O54="a"),VLOOKUP("a",'Características dos Cabos'!$D$14:$K$18,4),IF(OR(N54="b",N54="c",O54="b",O54="c"),VLOOKUP("b",'Características dos Cabos'!$D$14:$K$18,4),IF(OR(N54="d",N54="e",O54="d",O54="e"),VLOOKUP("c",'Características dos Cabos'!$D$14:$K$18,4),IF(OR(N54="f",N54="g",N54="h",O54="f",O54="g",O54="h"),VLOOKUP("d",'Características dos Cabos'!$D$14:$K$18,4),IF(OR(N54="i",N54="j",N54="l",N54="m",O54="i",O54="j",O54="l",O54="m"),VLOOKUP("e",'Características dos Cabos'!$D$14:$K$18,4),"")))))</f>
        <v/>
      </c>
      <c r="Z54" s="269" t="str">
        <f t="shared" si="19"/>
        <v/>
      </c>
      <c r="AA54" s="270" t="str">
        <f t="shared" si="20"/>
        <v/>
      </c>
      <c r="AB54" s="309"/>
      <c r="AC54" s="312">
        <f t="shared" si="21"/>
        <v>0</v>
      </c>
      <c r="AD54" s="312">
        <f t="shared" si="22"/>
        <v>0</v>
      </c>
      <c r="AE54" s="309"/>
    </row>
    <row r="55" spans="1:31" ht="13.5" customHeight="1" thickTop="1" thickBot="1">
      <c r="A55" s="2"/>
      <c r="B55" s="751"/>
      <c r="C55" s="70"/>
      <c r="D55" s="71"/>
      <c r="E55" s="72"/>
      <c r="F55" s="35" t="str">
        <f t="shared" si="3"/>
        <v/>
      </c>
      <c r="G55" s="55"/>
      <c r="H55" s="313" t="str">
        <f>IF(AND(E55="",G55=""),"",SUM(F55:G56))</f>
        <v/>
      </c>
      <c r="I55" s="266" t="str">
        <f>IF(OR(L55="",M55=""),"",IF(L55="3",VLOOKUP(N55,'K% (Rede Convencional)'!$B$18:$H$29,5),(IF(L55="2",VLOOKUP(O55,'K% (Rede Convencional)'!$B$18:$H$29,6),(IF(L55="1",VLOOKUP(O55,'K% (Rede Convencional)'!$B$18:$H$29,7)))))))</f>
        <v/>
      </c>
      <c r="J55" s="266" t="str">
        <f>IF(OR(L55="",M55=""),"",IF(L55="3",VLOOKUP(N55,'K% (Rede Convencional)'!$B$18:$E$29,2),(IF(L55="2",VLOOKUP(O55,'K% (Rede Convencional)'!$B$18:$E$29,3),(IF(L55="1",VLOOKUP(O55,'K% (Rede Convencional)'!$B$18:$E$29,4)))))))</f>
        <v/>
      </c>
      <c r="K55" s="266" t="str">
        <f t="shared" si="14"/>
        <v/>
      </c>
      <c r="L55" s="83"/>
      <c r="M55" s="83"/>
      <c r="N55" s="79">
        <f t="shared" si="10"/>
        <v>0</v>
      </c>
      <c r="O55" s="82" t="str">
        <f>IF(M55="","",IF(M55="4 (4)","a",IF(OR(M55="2 (4)",M55="2 (2)"),VLOOKUP(M55,mT!$AF$21:$AG$22,2,FALSE),IF(OR(M55="1/0 (4)",M55="1/0 (2)"),VLOOKUP(M55,mT!$AF$24:$AG$25,2,FALSE),IF(OR(M55="4/0 (4)",M55="4/0 (2)",M55="4/0 (1/0)"),VLOOKUP(M55,mT!$AF$27:$AG$29,2,FALSE),IF(OR(M55="336,4 (4)",M55="336,4 (2)",M55="336,4 (1/0)",M55="336,4 (4/0)"),VLOOKUP(M55,mT!$AF$31:$AG$34,2,FALSE),""))))))</f>
        <v/>
      </c>
      <c r="P55" s="55"/>
      <c r="Q55" s="268" t="str">
        <f t="shared" si="15"/>
        <v/>
      </c>
      <c r="R55" s="268" t="str">
        <f>IF(Q55="","",SUM($Q$20:Q55))</f>
        <v/>
      </c>
      <c r="S55" s="268" t="str">
        <f t="shared" si="16"/>
        <v/>
      </c>
      <c r="T55" s="269" t="str">
        <f>IF(OR(N55="a",O55="a"),VLOOKUP("a",'Características dos Cabos'!$D$25:$L$29,9),IF(OR(N55="b",N55="c",O55="b",O55="c"),VLOOKUP("b",'Características dos Cabos'!$D$25:$L$29,9),IF(OR(N55="d",N55="e",O55="d",O55="e"),VLOOKUP("c",'Características dos Cabos'!$D$25:$L$29,9),IF(OR(N55="f",N55="g",N55="h",O55="f",O55="g",O55="h"),VLOOKUP("d",'Características dos Cabos'!$D$25:$L$29,9),IF(OR(N55="i",N55="j",N55="l",N55="m",O55="i",O56="j",O56="l",O56="m"),VLOOKUP("e",'Características dos Cabos'!$D$25:$L$29,9),"")))))</f>
        <v/>
      </c>
      <c r="U55" s="269" t="str">
        <f>IF(OR(N55="a",O55="a"),VLOOKUP("a",'Características dos Cabos'!$D$14:$K$18,8),IF(OR(N55="b",N55="c",O55="b",O55="c"),VLOOKUP("b",'Características dos Cabos'!$D$14:$K$18,8),IF(OR(N55="d",N55="e",O55="d",O55="e"),VLOOKUP("c",'Características dos Cabos'!$D$14:$K$18,8),IF(OR(N55="f",N55="g",N55="h",O55="f",O55="g",O55="h"),VLOOKUP("d",'Características dos Cabos'!$D$14:$K$18,8),IF(OR(N55="i",N55="j",N55="l",N55="m",O55="i",O56="j",O56="l",O56="m"),VLOOKUP("e",'Características dos Cabos'!$D$14:$K$18,8),"")))))</f>
        <v/>
      </c>
      <c r="V55" s="269" t="str">
        <f t="shared" si="17"/>
        <v/>
      </c>
      <c r="W55" s="268" t="str">
        <f t="shared" si="18"/>
        <v/>
      </c>
      <c r="X55" s="314" t="str">
        <f>IF(OR(N55="a",O55="a"),VLOOKUP("a",'Características dos Cabos'!$D$25:$L$29,3),IF(OR(N55="b",N55="c",O55="b",O55="c"),VLOOKUP("b",'Características dos Cabos'!$D$25:$L$29,3),IF(OR(N55="d",N55="e",O55="d",O55="e"),VLOOKUP("c",'Características dos Cabos'!$D$25:$L$29,3),IF(OR(N55="f",N55="g",N55="h",O55="f",O55="g",O55="h"),VLOOKUP("d",'Características dos Cabos'!$D$25:$L$29,3),IF(OR(N55="i",N55="j",N55="l",N55="m",O55="i",O55="j",O55="l",O55="m"),VLOOKUP("e",'Características dos Cabos'!$D$25:$L$29,3),"")))))</f>
        <v/>
      </c>
      <c r="Y55" s="314" t="str">
        <f>IF(OR(N55="a",O55="a"),VLOOKUP("a",'Características dos Cabos'!$D$14:$K$18,4),IF(OR(N55="b",N55="c",O55="b",O55="c"),VLOOKUP("b",'Características dos Cabos'!$D$14:$K$18,4),IF(OR(N55="d",N55="e",O55="d",O55="e"),VLOOKUP("c",'Características dos Cabos'!$D$14:$K$18,4),IF(OR(N55="f",N55="g",N55="h",O55="f",O55="g",O55="h"),VLOOKUP("d",'Características dos Cabos'!$D$14:$K$18,4),IF(OR(N55="i",N55="j",N55="l",N55="m",O55="i",O55="j",O55="l",O55="m"),VLOOKUP("e",'Características dos Cabos'!$D$14:$K$18,4),"")))))</f>
        <v/>
      </c>
      <c r="Z55" s="269" t="str">
        <f t="shared" si="19"/>
        <v/>
      </c>
      <c r="AA55" s="270" t="str">
        <f t="shared" si="20"/>
        <v/>
      </c>
      <c r="AB55" s="309"/>
      <c r="AC55" s="312">
        <f t="shared" si="21"/>
        <v>0</v>
      </c>
      <c r="AD55" s="312">
        <f t="shared" si="22"/>
        <v>0</v>
      </c>
      <c r="AE55" s="309"/>
    </row>
    <row r="56" spans="1:31" ht="13.5" customHeight="1" thickTop="1" thickBot="1">
      <c r="A56" s="2"/>
      <c r="B56" s="752"/>
      <c r="C56" s="73"/>
      <c r="D56" s="74"/>
      <c r="E56" s="75"/>
      <c r="F56" s="35" t="str">
        <f t="shared" si="3"/>
        <v/>
      </c>
      <c r="G56" s="56"/>
      <c r="H56" s="315" t="str">
        <f>IF(AND(E56="",G56=""),"",SUM(F56:G56))</f>
        <v/>
      </c>
      <c r="I56" s="287" t="str">
        <f>IF(OR(L56="",M56=""),"",IF(L56="3",VLOOKUP(N56,'K% (Rede Convencional)'!$B$18:$H$29,5),(IF(L56="2",VLOOKUP(O56,'K% (Rede Convencional)'!$B$18:$H$29,6),(IF(L56="1",VLOOKUP(O56,'K% (Rede Convencional)'!$B$18:$H$29,7)))))))</f>
        <v/>
      </c>
      <c r="J56" s="287" t="str">
        <f>IF(OR(L56="",M56=""),"",IF(L56="3",VLOOKUP(N56,'K% (Rede Convencional)'!$B$18:$E$29,2),(IF(L56="2",VLOOKUP(O56,'K% (Rede Convencional)'!$B$18:$E$29,3),(IF(L56="1",VLOOKUP(O56,'K% (Rede Convencional)'!$B$18:$E$29,4)))))))</f>
        <v/>
      </c>
      <c r="K56" s="287" t="str">
        <f t="shared" si="14"/>
        <v/>
      </c>
      <c r="L56" s="84"/>
      <c r="M56" s="84"/>
      <c r="N56" s="81">
        <f t="shared" si="10"/>
        <v>0</v>
      </c>
      <c r="O56" s="82" t="str">
        <f>IF(M56="","",IF(M56="4 (4)","a",IF(OR(M56="2 (4)",M56="2 (2)"),VLOOKUP(M56,mT!$AF$21:$AG$22,2,FALSE),IF(OR(M56="1/0 (4)",M56="1/0 (2)"),VLOOKUP(M56,mT!$AF$24:$AG$25,2,FALSE),IF(OR(M56="4/0 (4)",M56="4/0 (2)",M56="4/0 (1/0)"),VLOOKUP(M56,mT!$AF$27:$AG$29,2,FALSE),IF(OR(M56="336,4 (4)",M56="336,4 (2)",M56="336,4 (1/0)",M56="336,4 (4/0)"),VLOOKUP(M56,mT!$AF$31:$AG$34,2,FALSE),""))))))</f>
        <v/>
      </c>
      <c r="P56" s="56"/>
      <c r="Q56" s="289" t="str">
        <f t="shared" si="15"/>
        <v/>
      </c>
      <c r="R56" s="289" t="str">
        <f>IF(Q56="","",SUM($Q$20:Q56))</f>
        <v/>
      </c>
      <c r="S56" s="289" t="str">
        <f t="shared" si="16"/>
        <v/>
      </c>
      <c r="T56" s="290" t="str">
        <f>IF(OR(N56="a",O56="a"),VLOOKUP("a",'Características dos Cabos'!$D$25:$L$29,9),IF(OR(N56="b",N56="c",O56="b",O56="c"),VLOOKUP("b",'Características dos Cabos'!$D$25:$L$29,9),IF(OR(N56="d",N56="e",O56="d",O56="e"),VLOOKUP("c",'Características dos Cabos'!$D$25:$L$29,9),IF(OR(N56="f",N56="g",N56="h",O56="f",O56="g",O56="h"),VLOOKUP("d",'Características dos Cabos'!$D$25:$L$29,9),IF(OR(N56="i",N56="j",N56="l",N56="m",O56="i",O81="j",O81="l",O81="m"),VLOOKUP("e",'Características dos Cabos'!$D$25:$L$29,9),"")))))</f>
        <v/>
      </c>
      <c r="U56" s="290" t="str">
        <f>IF(OR(N56="a",O56="a"),VLOOKUP("a",'Características dos Cabos'!$D$14:$K$18,8),IF(OR(N56="b",N56="c",O56="b",O56="c"),VLOOKUP("b",'Características dos Cabos'!$D$14:$K$18,8),IF(OR(N56="d",N56="e",O56="d",O56="e"),VLOOKUP("c",'Características dos Cabos'!$D$14:$K$18,8),IF(OR(N56="f",N56="g",N56="h",O56="f",O56="g",O56="h"),VLOOKUP("d",'Características dos Cabos'!$D$14:$K$18,8),IF(OR(N56="i",N56="j",N56="l",N56="m",O56="i",O81="j",O81="l",O81="m"),VLOOKUP("e",'Características dos Cabos'!$D$14:$K$18,8),"")))))</f>
        <v/>
      </c>
      <c r="V56" s="290" t="str">
        <f t="shared" si="17"/>
        <v/>
      </c>
      <c r="W56" s="289" t="str">
        <f t="shared" si="18"/>
        <v/>
      </c>
      <c r="X56" s="316" t="str">
        <f>IF(OR(N56="a",O56="a"),VLOOKUP("a",'Características dos Cabos'!$D$25:$L$29,3),IF(OR(N56="b",N56="c",O56="b",O56="c"),VLOOKUP("b",'Características dos Cabos'!$D$25:$L$29,3),IF(OR(N56="d",N56="e",O56="d",O56="e"),VLOOKUP("c",'Características dos Cabos'!$D$25:$L$29,3),IF(OR(N56="f",N56="g",N56="h",O56="f",O56="g",O56="h"),VLOOKUP("d",'Características dos Cabos'!$D$25:$L$29,3),IF(OR(N56="i",N56="j",N56="l",N56="m",O56="i",O56="j",O56="l",O56="m"),VLOOKUP("e",'Características dos Cabos'!$D$25:$L$29,3),"")))))</f>
        <v/>
      </c>
      <c r="Y56" s="316" t="str">
        <f>IF(OR(N56="a",O56="a"),VLOOKUP("a",'Características dos Cabos'!$D$14:$K$18,4),IF(OR(N56="b",N56="c",O56="b",O56="c"),VLOOKUP("b",'Características dos Cabos'!$D$14:$K$18,4),IF(OR(N56="d",N56="e",O56="d",O56="e"),VLOOKUP("c",'Características dos Cabos'!$D$14:$K$18,4),IF(OR(N56="f",N56="g",N56="h",O56="f",O56="g",O56="h"),VLOOKUP("d",'Características dos Cabos'!$D$14:$K$18,4),IF(OR(N56="i",N56="j",N56="l",N56="m",O56="i",O56="j",O56="l",O56="m"),VLOOKUP("e",'Características dos Cabos'!$D$14:$K$18,4),"")))))</f>
        <v/>
      </c>
      <c r="Z56" s="290" t="str">
        <f t="shared" si="19"/>
        <v/>
      </c>
      <c r="AA56" s="291" t="str">
        <f t="shared" si="20"/>
        <v/>
      </c>
      <c r="AB56" s="309"/>
      <c r="AC56" s="312">
        <f t="shared" si="21"/>
        <v>0</v>
      </c>
      <c r="AD56" s="312">
        <f t="shared" si="22"/>
        <v>0</v>
      </c>
      <c r="AE56" s="309"/>
    </row>
    <row r="57" spans="1:31" ht="13.5" customHeight="1" thickTop="1" thickBot="1">
      <c r="A57" s="2"/>
      <c r="B57" s="750" t="s">
        <v>232</v>
      </c>
      <c r="C57" s="59"/>
      <c r="D57" s="76"/>
      <c r="E57" s="68"/>
      <c r="F57" s="35" t="str">
        <f t="shared" si="3"/>
        <v/>
      </c>
      <c r="G57" s="69"/>
      <c r="H57" s="310" t="str">
        <f>IF(AND(E57="",G57=""),"",SUM(F57:G60))</f>
        <v/>
      </c>
      <c r="I57" s="279" t="str">
        <f>IF(OR(L57="",M57=""),"",IF(L57="3",VLOOKUP(N57,'K% (Rede Convencional)'!$B$18:$H$29,5),(IF(L57="2",VLOOKUP(O57,'K% (Rede Convencional)'!$B$18:$H$29,6),(IF(L57="1",VLOOKUP(O57,'K% (Rede Convencional)'!$B$18:$H$29,7)))))))</f>
        <v/>
      </c>
      <c r="J57" s="279" t="str">
        <f>IF(OR(L57="",M57=""),"",IF(L57="3",VLOOKUP(N57,'K% (Rede Convencional)'!$B$18:$E$29,2),(IF(L57="2",VLOOKUP(O57,'K% (Rede Convencional)'!$B$18:$E$29,3),(IF(L57="1",VLOOKUP(O57,'K% (Rede Convencional)'!$B$18:$E$29,4)))))))</f>
        <v/>
      </c>
      <c r="K57" s="279" t="str">
        <f t="shared" si="14"/>
        <v/>
      </c>
      <c r="L57" s="85"/>
      <c r="M57" s="85"/>
      <c r="N57" s="77">
        <f t="shared" si="10"/>
        <v>0</v>
      </c>
      <c r="O57" s="82" t="str">
        <f>IF(M57="","",IF(M57="4 (4)","a",IF(OR(M57="2 (4)",M57="2 (2)"),VLOOKUP(M57,mT!$AF$21:$AG$22,2,FALSE),IF(OR(M57="1/0 (4)",M57="1/0 (2)"),VLOOKUP(M57,mT!$AF$24:$AG$25,2,FALSE),IF(OR(M57="4/0 (4)",M57="4/0 (2)",M57="4/0 (1/0)"),VLOOKUP(M57,mT!$AF$27:$AG$29,2,FALSE),IF(OR(M57="336,4 (4)",M57="336,4 (2)",M57="336,4 (1/0)",M57="336,4 (4/0)"),VLOOKUP(M57,mT!$AF$31:$AG$34,2,FALSE),""))))))</f>
        <v/>
      </c>
      <c r="P57" s="69"/>
      <c r="Q57" s="280" t="str">
        <f t="shared" si="15"/>
        <v/>
      </c>
      <c r="R57" s="280" t="str">
        <f>IF(Q57="","",SUM($Q$20:Q57))</f>
        <v/>
      </c>
      <c r="S57" s="280" t="str">
        <f t="shared" si="16"/>
        <v/>
      </c>
      <c r="T57" s="281" t="str">
        <f>IF(OR(N57="a",O57="a"),VLOOKUP("a",'Características dos Cabos'!$D$25:$L$29,9),IF(OR(N57="b",N57="c",O57="b",O57="c"),VLOOKUP("b",'Características dos Cabos'!$D$25:$L$29,9),IF(OR(N57="d",N57="e",O57="d",O57="e"),VLOOKUP("c",'Características dos Cabos'!$D$25:$L$29,9),IF(OR(N57="f",N57="g",N57="h",O57="f",O57="g",O57="h"),VLOOKUP("d",'Características dos Cabos'!$D$25:$L$29,9),IF(OR(N57="i",N57="j",N57="l",N57="m",O57="i",O58="j",O58="l",O58="m"),VLOOKUP("e",'Características dos Cabos'!$D$25:$L$29,9),"")))))</f>
        <v/>
      </c>
      <c r="U57" s="281" t="str">
        <f>IF(OR(N57="a",O57="a"),VLOOKUP("a",'Características dos Cabos'!$D$14:$K$18,8),IF(OR(N57="b",N57="c",O57="b",O57="c"),VLOOKUP("b",'Características dos Cabos'!$D$14:$K$18,8),IF(OR(N57="d",N57="e",O57="d",O57="e"),VLOOKUP("c",'Características dos Cabos'!$D$14:$K$18,8),IF(OR(N57="f",N57="g",N57="h",O57="f",O57="g",O57="h"),VLOOKUP("d",'Características dos Cabos'!$D$14:$K$18,8),IF(OR(N57="i",N57="j",N57="l",N57="m",O57="i",O58="j",O58="l",O58="m"),VLOOKUP("e",'Características dos Cabos'!$D$14:$K$18,8),"")))))</f>
        <v/>
      </c>
      <c r="V57" s="281" t="str">
        <f t="shared" si="17"/>
        <v/>
      </c>
      <c r="W57" s="280" t="str">
        <f t="shared" si="18"/>
        <v/>
      </c>
      <c r="X57" s="311" t="str">
        <f>IF(OR(N57="a",O57="a"),VLOOKUP("a",'Características dos Cabos'!$D$25:$L$29,3),IF(OR(N57="b",N57="c",O57="b",O57="c"),VLOOKUP("b",'Características dos Cabos'!$D$25:$L$29,3),IF(OR(N57="d",N57="e",O57="d",O57="e"),VLOOKUP("c",'Características dos Cabos'!$D$25:$L$29,3),IF(OR(N57="f",N57="g",N57="h",O57="f",O57="g",O57="h"),VLOOKUP("d",'Características dos Cabos'!$D$25:$L$29,3),IF(OR(N57="i",N57="j",N57="l",N57="m",O57="i",O57="j",O57="l",O57="m"),VLOOKUP("e",'Características dos Cabos'!$D$25:$L$29,3),"")))))</f>
        <v/>
      </c>
      <c r="Y57" s="311" t="str">
        <f>IF(OR(N57="a",O57="a"),VLOOKUP("a",'Características dos Cabos'!$D$14:$K$18,4),IF(OR(N57="b",N57="c",O57="b",O57="c"),VLOOKUP("b",'Características dos Cabos'!$D$14:$K$18,4),IF(OR(N57="d",N57="e",O57="d",O57="e"),VLOOKUP("c",'Características dos Cabos'!$D$14:$K$18,4),IF(OR(N57="f",N57="g",N57="h",O57="f",O57="g",O57="h"),VLOOKUP("d",'Características dos Cabos'!$D$14:$K$18,4),IF(OR(N57="i",N57="j",N57="l",N57="m",O57="i",O57="j",O57="l",O57="m"),VLOOKUP("e",'Características dos Cabos'!$D$14:$K$18,4),"")))))</f>
        <v/>
      </c>
      <c r="Z57" s="281" t="str">
        <f t="shared" si="19"/>
        <v/>
      </c>
      <c r="AA57" s="282" t="str">
        <f t="shared" si="20"/>
        <v/>
      </c>
      <c r="AB57" s="455" t="e">
        <f>VLOOKUP(C57,$D$21:$R$35,12,FALSE)</f>
        <v>#N/A</v>
      </c>
      <c r="AC57" s="312">
        <f t="shared" si="21"/>
        <v>0</v>
      </c>
      <c r="AD57" s="312">
        <f t="shared" si="22"/>
        <v>0</v>
      </c>
      <c r="AE57" s="309"/>
    </row>
    <row r="58" spans="1:31" ht="14.25" customHeight="1" thickTop="1" thickBot="1">
      <c r="A58" s="2"/>
      <c r="B58" s="751"/>
      <c r="C58" s="70"/>
      <c r="D58" s="71"/>
      <c r="E58" s="72"/>
      <c r="F58" s="35" t="str">
        <f t="shared" si="3"/>
        <v/>
      </c>
      <c r="G58" s="55"/>
      <c r="H58" s="313" t="str">
        <f>IF(AND(E58="",G58=""),"",SUM(F58:G60))</f>
        <v/>
      </c>
      <c r="I58" s="266" t="str">
        <f>IF(OR(L58="",M58=""),"",IF(L58="3",VLOOKUP(N58,'K% (Rede Convencional)'!$B$18:$H$29,5),(IF(L58="2",VLOOKUP(O58,'K% (Rede Convencional)'!$B$18:$H$29,6),(IF(L58="1",VLOOKUP(O58,'K% (Rede Convencional)'!$B$18:$H$29,7)))))))</f>
        <v/>
      </c>
      <c r="J58" s="266" t="str">
        <f>IF(OR(L58="",M58=""),"",IF(L58="3",VLOOKUP(N58,'K% (Rede Convencional)'!$B$18:$E$29,2),(IF(L58="2",VLOOKUP(O58,'K% (Rede Convencional)'!$B$18:$E$29,3),(IF(L58="1",VLOOKUP(O58,'K% (Rede Convencional)'!$B$18:$E$29,4)))))))</f>
        <v/>
      </c>
      <c r="K58" s="266" t="str">
        <f t="shared" si="14"/>
        <v/>
      </c>
      <c r="L58" s="83"/>
      <c r="M58" s="83"/>
      <c r="N58" s="79">
        <f t="shared" si="10"/>
        <v>0</v>
      </c>
      <c r="O58" s="82" t="str">
        <f>IF(M58="","",IF(M58="4 (4)","a",IF(OR(M58="2 (4)",M58="2 (2)"),VLOOKUP(M58,mT!$AF$21:$AG$22,2,FALSE),IF(OR(M58="1/0 (4)",M58="1/0 (2)"),VLOOKUP(M58,mT!$AF$24:$AG$25,2,FALSE),IF(OR(M58="4/0 (4)",M58="4/0 (2)",M58="4/0 (1/0)"),VLOOKUP(M58,mT!$AF$27:$AG$29,2,FALSE),IF(OR(M58="336,4 (4)",M58="336,4 (2)",M58="336,4 (1/0)",M58="336,4 (4/0)"),VLOOKUP(M58,mT!$AF$31:$AG$34,2,FALSE),""))))))</f>
        <v/>
      </c>
      <c r="P58" s="55"/>
      <c r="Q58" s="268" t="str">
        <f t="shared" si="15"/>
        <v/>
      </c>
      <c r="R58" s="268" t="str">
        <f>IF(Q58="","",SUM($Q$20:Q58))</f>
        <v/>
      </c>
      <c r="S58" s="268" t="str">
        <f t="shared" si="16"/>
        <v/>
      </c>
      <c r="T58" s="269" t="str">
        <f>IF(OR(N58="a",O58="a"),VLOOKUP("a",'Características dos Cabos'!$D$25:$L$29,9),IF(OR(N58="b",N58="c",O58="b",O58="c"),VLOOKUP("b",'Características dos Cabos'!$D$25:$L$29,9),IF(OR(N58="d",N58="e",O58="d",O58="e"),VLOOKUP("c",'Características dos Cabos'!$D$25:$L$29,9),IF(OR(N58="f",N58="g",N58="h",O58="f",O58="g",O58="h"),VLOOKUP("d",'Características dos Cabos'!$D$25:$L$29,9),IF(OR(N58="i",N58="j",N58="l",N58="m",O58="i",O59="j",O59="l",O59="m"),VLOOKUP("e",'Características dos Cabos'!$D$25:$L$29,9),"")))))</f>
        <v/>
      </c>
      <c r="U58" s="269" t="str">
        <f>IF(OR(N58="a",O58="a"),VLOOKUP("a",'Características dos Cabos'!$D$14:$K$18,8),IF(OR(N58="b",N58="c",O58="b",O58="c"),VLOOKUP("b",'Características dos Cabos'!$D$14:$K$18,8),IF(OR(N58="d",N58="e",O58="d",O58="e"),VLOOKUP("c",'Características dos Cabos'!$D$14:$K$18,8),IF(OR(N58="f",N58="g",N58="h",O58="f",O58="g",O58="h"),VLOOKUP("d",'Características dos Cabos'!$D$14:$K$18,8),IF(OR(N58="i",N58="j",N58="l",N58="m",O58="i",O59="j",O59="l",O59="m"),VLOOKUP("e",'Características dos Cabos'!$D$14:$K$18,8),"")))))</f>
        <v/>
      </c>
      <c r="V58" s="269" t="str">
        <f t="shared" si="17"/>
        <v/>
      </c>
      <c r="W58" s="268" t="str">
        <f t="shared" si="18"/>
        <v/>
      </c>
      <c r="X58" s="314" t="str">
        <f>IF(OR(N58="a",O58="a"),VLOOKUP("a",'Características dos Cabos'!$D$25:$L$29,3),IF(OR(N58="b",N58="c",O58="b",O58="c"),VLOOKUP("b",'Características dos Cabos'!$D$25:$L$29,3),IF(OR(N58="d",N58="e",O58="d",O58="e"),VLOOKUP("c",'Características dos Cabos'!$D$25:$L$29,3),IF(OR(N58="f",N58="g",N58="h",O58="f",O58="g",O58="h"),VLOOKUP("d",'Características dos Cabos'!$D$25:$L$29,3),IF(OR(N58="i",N58="j",N58="l",N58="m",O58="i",O58="j",O58="l",O58="m"),VLOOKUP("e",'Características dos Cabos'!$D$25:$L$29,3),"")))))</f>
        <v/>
      </c>
      <c r="Y58" s="314" t="str">
        <f>IF(OR(N58="a",O58="a"),VLOOKUP("a",'Características dos Cabos'!$D$14:$K$18,4),IF(OR(N58="b",N58="c",O58="b",O58="c"),VLOOKUP("b",'Características dos Cabos'!$D$14:$K$18,4),IF(OR(N58="d",N58="e",O58="d",O58="e"),VLOOKUP("c",'Características dos Cabos'!$D$14:$K$18,4),IF(OR(N58="f",N58="g",N58="h",O58="f",O58="g",O58="h"),VLOOKUP("d",'Características dos Cabos'!$D$14:$K$18,4),IF(OR(N58="i",N58="j",N58="l",N58="m",O58="i",O58="j",O58="l",O58="m"),VLOOKUP("e",'Características dos Cabos'!$D$14:$K$18,4),"")))))</f>
        <v/>
      </c>
      <c r="Z58" s="269" t="str">
        <f t="shared" si="19"/>
        <v/>
      </c>
      <c r="AA58" s="270" t="str">
        <f t="shared" si="20"/>
        <v/>
      </c>
      <c r="AB58" s="309"/>
      <c r="AC58" s="312">
        <f t="shared" si="21"/>
        <v>0</v>
      </c>
      <c r="AD58" s="312">
        <f t="shared" si="22"/>
        <v>0</v>
      </c>
      <c r="AE58" s="309"/>
    </row>
    <row r="59" spans="1:31" ht="13.5" customHeight="1" thickTop="1" thickBot="1">
      <c r="A59" s="2"/>
      <c r="B59" s="751"/>
      <c r="C59" s="70"/>
      <c r="D59" s="71"/>
      <c r="E59" s="72"/>
      <c r="F59" s="35" t="str">
        <f t="shared" si="3"/>
        <v/>
      </c>
      <c r="G59" s="55"/>
      <c r="H59" s="313" t="str">
        <f>IF(AND(E59="",G59=""),"",SUM(F59:G60))</f>
        <v/>
      </c>
      <c r="I59" s="266" t="str">
        <f>IF(OR(L59="",M59=""),"",IF(L59="3",VLOOKUP(N59,'K% (Rede Convencional)'!$B$18:$H$29,5),(IF(L59="2",VLOOKUP(O59,'K% (Rede Convencional)'!$B$18:$H$29,6),(IF(L59="1",VLOOKUP(O59,'K% (Rede Convencional)'!$B$18:$H$29,7)))))))</f>
        <v/>
      </c>
      <c r="J59" s="266" t="str">
        <f>IF(OR(L59="",M59=""),"",IF(L59="3",VLOOKUP(N59,'K% (Rede Convencional)'!$B$18:$E$29,2),(IF(L59="2",VLOOKUP(O59,'K% (Rede Convencional)'!$B$18:$E$29,3),(IF(L59="1",VLOOKUP(O59,'K% (Rede Convencional)'!$B$18:$E$29,4)))))))</f>
        <v/>
      </c>
      <c r="K59" s="266" t="str">
        <f t="shared" si="14"/>
        <v/>
      </c>
      <c r="L59" s="83"/>
      <c r="M59" s="83"/>
      <c r="N59" s="79">
        <f t="shared" si="10"/>
        <v>0</v>
      </c>
      <c r="O59" s="82" t="str">
        <f>IF(M59="","",IF(M59="4 (4)","a",IF(OR(M59="2 (4)",M59="2 (2)"),VLOOKUP(M59,mT!$AF$21:$AG$22,2,FALSE),IF(OR(M59="1/0 (4)",M59="1/0 (2)"),VLOOKUP(M59,mT!$AF$24:$AG$25,2,FALSE),IF(OR(M59="4/0 (4)",M59="4/0 (2)",M59="4/0 (1/0)"),VLOOKUP(M59,mT!$AF$27:$AG$29,2,FALSE),IF(OR(M59="336,4 (4)",M59="336,4 (2)",M59="336,4 (1/0)",M59="336,4 (4/0)"),VLOOKUP(M59,mT!$AF$31:$AG$34,2,FALSE),""))))))</f>
        <v/>
      </c>
      <c r="P59" s="55"/>
      <c r="Q59" s="268" t="str">
        <f t="shared" si="15"/>
        <v/>
      </c>
      <c r="R59" s="268" t="str">
        <f>IF(Q59="","",SUM($Q$20:Q59))</f>
        <v/>
      </c>
      <c r="S59" s="268" t="str">
        <f t="shared" si="16"/>
        <v/>
      </c>
      <c r="T59" s="269" t="str">
        <f>IF(OR(N59="a",O59="a"),VLOOKUP("a",'Características dos Cabos'!$D$25:$L$29,9),IF(OR(N59="b",N59="c",O59="b",O59="c"),VLOOKUP("b",'Características dos Cabos'!$D$25:$L$29,9),IF(OR(N59="d",N59="e",O59="d",O59="e"),VLOOKUP("c",'Características dos Cabos'!$D$25:$L$29,9),IF(OR(N59="f",N59="g",N59="h",O59="f",O59="g",O59="h"),VLOOKUP("d",'Características dos Cabos'!$D$25:$L$29,9),IF(OR(N59="i",N59="j",N59="l",N59="m",O59="i",O60="j",O60="l",O60="m"),VLOOKUP("e",'Características dos Cabos'!$D$25:$L$29,9),"")))))</f>
        <v/>
      </c>
      <c r="U59" s="269" t="str">
        <f>IF(OR(N59="a",O59="a"),VLOOKUP("a",'Características dos Cabos'!$D$14:$K$18,8),IF(OR(N59="b",N59="c",O59="b",O59="c"),VLOOKUP("b",'Características dos Cabos'!$D$14:$K$18,8),IF(OR(N59="d",N59="e",O59="d",O59="e"),VLOOKUP("c",'Características dos Cabos'!$D$14:$K$18,8),IF(OR(N59="f",N59="g",N59="h",O59="f",O59="g",O59="h"),VLOOKUP("d",'Características dos Cabos'!$D$14:$K$18,8),IF(OR(N59="i",N59="j",N59="l",N59="m",O59="i",O60="j",O60="l",O60="m"),VLOOKUP("e",'Características dos Cabos'!$D$14:$K$18,8),"")))))</f>
        <v/>
      </c>
      <c r="V59" s="269" t="str">
        <f t="shared" si="17"/>
        <v/>
      </c>
      <c r="W59" s="268" t="str">
        <f t="shared" si="18"/>
        <v/>
      </c>
      <c r="X59" s="314" t="str">
        <f>IF(OR(N59="a",O59="a"),VLOOKUP("a",'Características dos Cabos'!$D$25:$L$29,3),IF(OR(N59="b",N59="c",O59="b",O59="c"),VLOOKUP("b",'Características dos Cabos'!$D$25:$L$29,3),IF(OR(N59="d",N59="e",O59="d",O59="e"),VLOOKUP("c",'Características dos Cabos'!$D$25:$L$29,3),IF(OR(N59="f",N59="g",N59="h",O59="f",O59="g",O59="h"),VLOOKUP("d",'Características dos Cabos'!$D$25:$L$29,3),IF(OR(N59="i",N59="j",N59="l",N59="m",O59="i",O59="j",O59="l",O59="m"),VLOOKUP("e",'Características dos Cabos'!$D$25:$L$29,3),"")))))</f>
        <v/>
      </c>
      <c r="Y59" s="314" t="str">
        <f>IF(OR(N59="a",O59="a"),VLOOKUP("a",'Características dos Cabos'!$D$14:$K$18,4),IF(OR(N59="b",N59="c",O59="b",O59="c"),VLOOKUP("b",'Características dos Cabos'!$D$14:$K$18,4),IF(OR(N59="d",N59="e",O59="d",O59="e"),VLOOKUP("c",'Características dos Cabos'!$D$14:$K$18,4),IF(OR(N59="f",N59="g",N59="h",O59="f",O59="g",O59="h"),VLOOKUP("d",'Características dos Cabos'!$D$14:$K$18,4),IF(OR(N59="i",N59="j",N59="l",N59="m",O59="i",O59="j",O59="l",O59="m"),VLOOKUP("e",'Características dos Cabos'!$D$14:$K$18,4),"")))))</f>
        <v/>
      </c>
      <c r="Z59" s="269" t="str">
        <f t="shared" si="19"/>
        <v/>
      </c>
      <c r="AA59" s="270" t="str">
        <f t="shared" si="20"/>
        <v/>
      </c>
      <c r="AB59" s="309"/>
      <c r="AC59" s="312">
        <f t="shared" si="21"/>
        <v>0</v>
      </c>
      <c r="AD59" s="312">
        <f t="shared" si="22"/>
        <v>0</v>
      </c>
      <c r="AE59" s="309"/>
    </row>
    <row r="60" spans="1:31" ht="13.5" customHeight="1" thickTop="1" thickBot="1">
      <c r="A60" s="2"/>
      <c r="B60" s="752"/>
      <c r="C60" s="73"/>
      <c r="D60" s="74"/>
      <c r="E60" s="75"/>
      <c r="F60" s="35" t="str">
        <f t="shared" si="3"/>
        <v/>
      </c>
      <c r="G60" s="56"/>
      <c r="H60" s="315" t="str">
        <f>IF(AND(E60="",G60=""),"",SUM(F60:G60))</f>
        <v/>
      </c>
      <c r="I60" s="287" t="str">
        <f>IF(OR(L60="",M60=""),"",IF(L60="3",VLOOKUP(N60,'K% (Rede Convencional)'!$B$18:$H$29,5),(IF(L60="2",VLOOKUP(O60,'K% (Rede Convencional)'!$B$18:$H$29,6),(IF(L60="1",VLOOKUP(O60,'K% (Rede Convencional)'!$B$18:$H$29,7)))))))</f>
        <v/>
      </c>
      <c r="J60" s="287" t="str">
        <f>IF(OR(L60="",M60=""),"",IF(L60="3",VLOOKUP(N60,'K% (Rede Convencional)'!$B$18:$E$29,2),(IF(L60="2",VLOOKUP(O60,'K% (Rede Convencional)'!$B$18:$E$29,3),(IF(L60="1",VLOOKUP(O60,'K% (Rede Convencional)'!$B$18:$E$29,4)))))))</f>
        <v/>
      </c>
      <c r="K60" s="287" t="str">
        <f t="shared" si="14"/>
        <v/>
      </c>
      <c r="L60" s="84"/>
      <c r="M60" s="84"/>
      <c r="N60" s="81">
        <f t="shared" si="10"/>
        <v>0</v>
      </c>
      <c r="O60" s="82" t="str">
        <f>IF(M60="","",IF(M60="4 (4)","a",IF(OR(M60="2 (4)",M60="2 (2)"),VLOOKUP(M60,mT!$AF$21:$AG$22,2,FALSE),IF(OR(M60="1/0 (4)",M60="1/0 (2)"),VLOOKUP(M60,mT!$AF$24:$AG$25,2,FALSE),IF(OR(M60="4/0 (4)",M60="4/0 (2)",M60="4/0 (1/0)"),VLOOKUP(M60,mT!$AF$27:$AG$29,2,FALSE),IF(OR(M60="336,4 (4)",M60="336,4 (2)",M60="336,4 (1/0)",M60="336,4 (4/0)"),VLOOKUP(M60,mT!$AF$31:$AG$34,2,FALSE),""))))))</f>
        <v/>
      </c>
      <c r="P60" s="56"/>
      <c r="Q60" s="289" t="str">
        <f t="shared" si="15"/>
        <v/>
      </c>
      <c r="R60" s="289" t="str">
        <f>IF(Q60="","",SUM($Q$20:Q60))</f>
        <v/>
      </c>
      <c r="S60" s="289" t="str">
        <f t="shared" si="16"/>
        <v/>
      </c>
      <c r="T60" s="290" t="str">
        <f>IF(OR(N60="a",O60="a"),VLOOKUP("a",'Características dos Cabos'!$D$25:$L$29,9),IF(OR(N60="b",N60="c",O60="b",O60="c"),VLOOKUP("b",'Características dos Cabos'!$D$25:$L$29,9),IF(OR(N60="d",N60="e",O60="d",O60="e"),VLOOKUP("c",'Características dos Cabos'!$D$25:$L$29,9),IF(OR(N60="f",N60="g",N60="h",O60="f",O60="g",O60="h"),VLOOKUP("d",'Características dos Cabos'!$D$25:$L$29,9),IF(OR(N60="i",N60="j",N60="l",N60="m",O60="i",O85="j",O85="l",O85="m"),VLOOKUP("e",'Características dos Cabos'!$D$25:$L$29,9),"")))))</f>
        <v/>
      </c>
      <c r="U60" s="290" t="str">
        <f>IF(OR(N60="a",O60="a"),VLOOKUP("a",'Características dos Cabos'!$D$14:$K$18,8),IF(OR(N60="b",N60="c",O60="b",O60="c"),VLOOKUP("b",'Características dos Cabos'!$D$14:$K$18,8),IF(OR(N60="d",N60="e",O60="d",O60="e"),VLOOKUP("c",'Características dos Cabos'!$D$14:$K$18,8),IF(OR(N60="f",N60="g",N60="h",O60="f",O60="g",O60="h"),VLOOKUP("d",'Características dos Cabos'!$D$14:$K$18,8),IF(OR(N60="i",N60="j",N60="l",N60="m",O60="i",O85="j",O85="l",O85="m"),VLOOKUP("e",'Características dos Cabos'!$D$14:$K$18,8),"")))))</f>
        <v/>
      </c>
      <c r="V60" s="290" t="str">
        <f t="shared" si="17"/>
        <v/>
      </c>
      <c r="W60" s="289" t="str">
        <f t="shared" si="18"/>
        <v/>
      </c>
      <c r="X60" s="316" t="str">
        <f>IF(OR(N60="a",O60="a"),VLOOKUP("a",'Características dos Cabos'!$D$25:$L$29,3),IF(OR(N60="b",N60="c",O60="b",O60="c"),VLOOKUP("b",'Características dos Cabos'!$D$25:$L$29,3),IF(OR(N60="d",N60="e",O60="d",O60="e"),VLOOKUP("c",'Características dos Cabos'!$D$25:$L$29,3),IF(OR(N60="f",N60="g",N60="h",O60="f",O60="g",O60="h"),VLOOKUP("d",'Características dos Cabos'!$D$25:$L$29,3),IF(OR(N60="i",N60="j",N60="l",N60="m",O60="i",O60="j",O60="l",O60="m"),VLOOKUP("e",'Características dos Cabos'!$D$25:$L$29,3),"")))))</f>
        <v/>
      </c>
      <c r="Y60" s="316" t="str">
        <f>IF(OR(N60="a",O60="a"),VLOOKUP("a",'Características dos Cabos'!$D$14:$K$18,4),IF(OR(N60="b",N60="c",O60="b",O60="c"),VLOOKUP("b",'Características dos Cabos'!$D$14:$K$18,4),IF(OR(N60="d",N60="e",O60="d",O60="e"),VLOOKUP("c",'Características dos Cabos'!$D$14:$K$18,4),IF(OR(N60="f",N60="g",N60="h",O60="f",O60="g",O60="h"),VLOOKUP("d",'Características dos Cabos'!$D$14:$K$18,4),IF(OR(N60="i",N60="j",N60="l",N60="m",O60="i",O60="j",O60="l",O60="m"),VLOOKUP("e",'Características dos Cabos'!$D$14:$K$18,4),"")))))</f>
        <v/>
      </c>
      <c r="Z60" s="290" t="str">
        <f t="shared" si="19"/>
        <v/>
      </c>
      <c r="AA60" s="291" t="str">
        <f t="shared" si="20"/>
        <v/>
      </c>
      <c r="AB60" s="309"/>
      <c r="AC60" s="312">
        <f t="shared" si="21"/>
        <v>0</v>
      </c>
      <c r="AD60" s="312">
        <f t="shared" si="22"/>
        <v>0</v>
      </c>
      <c r="AE60" s="309"/>
    </row>
    <row r="61" spans="1:31" ht="13.5" customHeight="1" thickTop="1" thickBot="1">
      <c r="A61" s="2"/>
      <c r="B61" s="750" t="s">
        <v>233</v>
      </c>
      <c r="C61" s="59"/>
      <c r="D61" s="76"/>
      <c r="E61" s="68"/>
      <c r="F61" s="35" t="str">
        <f t="shared" si="3"/>
        <v/>
      </c>
      <c r="G61" s="69"/>
      <c r="H61" s="310" t="str">
        <f>IF(AND(E61="",G61=""),"",SUM(F61:G64))</f>
        <v/>
      </c>
      <c r="I61" s="279" t="str">
        <f>IF(OR(L61="",M61=""),"",IF(L61="3",VLOOKUP(N61,'K% (Rede Convencional)'!$B$18:$H$29,5),(IF(L61="2",VLOOKUP(O61,'K% (Rede Convencional)'!$B$18:$H$29,6),(IF(L61="1",VLOOKUP(O61,'K% (Rede Convencional)'!$B$18:$H$29,7)))))))</f>
        <v/>
      </c>
      <c r="J61" s="279" t="str">
        <f>IF(OR(L61="",M61=""),"",IF(L61="3",VLOOKUP(N61,'K% (Rede Convencional)'!$B$18:$E$29,2),(IF(L61="2",VLOOKUP(O61,'K% (Rede Convencional)'!$B$18:$E$29,3),(IF(L61="1",VLOOKUP(O61,'K% (Rede Convencional)'!$B$18:$E$29,4)))))))</f>
        <v/>
      </c>
      <c r="K61" s="279" t="str">
        <f t="shared" si="14"/>
        <v/>
      </c>
      <c r="L61" s="85"/>
      <c r="M61" s="85"/>
      <c r="N61" s="77">
        <f t="shared" si="10"/>
        <v>0</v>
      </c>
      <c r="O61" s="82" t="str">
        <f>IF(M61="","",IF(M61="4 (4)","a",IF(OR(M61="2 (4)",M61="2 (2)"),VLOOKUP(M61,mT!$AF$21:$AG$22,2,FALSE),IF(OR(M61="1/0 (4)",M61="1/0 (2)"),VLOOKUP(M61,mT!$AF$24:$AG$25,2,FALSE),IF(OR(M61="4/0 (4)",M61="4/0 (2)",M61="4/0 (1/0)"),VLOOKUP(M61,mT!$AF$27:$AG$29,2,FALSE),IF(OR(M61="336,4 (4)",M61="336,4 (2)",M61="336,4 (1/0)",M61="336,4 (4/0)"),VLOOKUP(M61,mT!$AF$31:$AG$34,2,FALSE),""))))))</f>
        <v/>
      </c>
      <c r="P61" s="69"/>
      <c r="Q61" s="280" t="str">
        <f t="shared" si="15"/>
        <v/>
      </c>
      <c r="R61" s="280" t="str">
        <f>IF(Q61="","",SUM($Q$20:Q61))</f>
        <v/>
      </c>
      <c r="S61" s="280" t="str">
        <f t="shared" si="16"/>
        <v/>
      </c>
      <c r="T61" s="281" t="str">
        <f>IF(OR(N61="a",O61="a"),VLOOKUP("a",'Características dos Cabos'!$D$25:$L$29,9),IF(OR(N61="b",N61="c",O61="b",O61="c"),VLOOKUP("b",'Características dos Cabos'!$D$25:$L$29,9),IF(OR(N61="d",N61="e",O61="d",O61="e"),VLOOKUP("c",'Características dos Cabos'!$D$25:$L$29,9),IF(OR(N61="f",N61="g",N61="h",O61="f",O61="g",O61="h"),VLOOKUP("d",'Características dos Cabos'!$D$25:$L$29,9),IF(OR(N61="i",N61="j",N61="l",N61="m",O61="i",O62="j",O62="l",O62="m"),VLOOKUP("e",'Características dos Cabos'!$D$25:$L$29,9),"")))))</f>
        <v/>
      </c>
      <c r="U61" s="281" t="str">
        <f>IF(OR(N61="a",O61="a"),VLOOKUP("a",'Características dos Cabos'!$D$14:$K$18,8),IF(OR(N61="b",N61="c",O61="b",O61="c"),VLOOKUP("b",'Características dos Cabos'!$D$14:$K$18,8),IF(OR(N61="d",N61="e",O61="d",O61="e"),VLOOKUP("c",'Características dos Cabos'!$D$14:$K$18,8),IF(OR(N61="f",N61="g",N61="h",O61="f",O61="g",O61="h"),VLOOKUP("d",'Características dos Cabos'!$D$14:$K$18,8),IF(OR(N61="i",N61="j",N61="l",N61="m",O61="i",O62="j",O62="l",O62="m"),VLOOKUP("e",'Características dos Cabos'!$D$14:$K$18,8),"")))))</f>
        <v/>
      </c>
      <c r="V61" s="281" t="str">
        <f t="shared" si="17"/>
        <v/>
      </c>
      <c r="W61" s="280" t="str">
        <f t="shared" si="18"/>
        <v/>
      </c>
      <c r="X61" s="311" t="str">
        <f>IF(OR(N61="a",O61="a"),VLOOKUP("a",'Características dos Cabos'!$D$25:$L$29,3),IF(OR(N61="b",N61="c",O61="b",O61="c"),VLOOKUP("b",'Características dos Cabos'!$D$25:$L$29,3),IF(OR(N61="d",N61="e",O61="d",O61="e"),VLOOKUP("c",'Características dos Cabos'!$D$25:$L$29,3),IF(OR(N61="f",N61="g",N61="h",O61="f",O61="g",O61="h"),VLOOKUP("d",'Características dos Cabos'!$D$25:$L$29,3),IF(OR(N61="i",N61="j",N61="l",N61="m",O61="i",O61="j",O61="l",O61="m"),VLOOKUP("e",'Características dos Cabos'!$D$25:$L$29,3),"")))))</f>
        <v/>
      </c>
      <c r="Y61" s="311" t="str">
        <f>IF(OR(N61="a",O61="a"),VLOOKUP("a",'Características dos Cabos'!$D$14:$K$18,4),IF(OR(N61="b",N61="c",O61="b",O61="c"),VLOOKUP("b",'Características dos Cabos'!$D$14:$K$18,4),IF(OR(N61="d",N61="e",O61="d",O61="e"),VLOOKUP("c",'Características dos Cabos'!$D$14:$K$18,4),IF(OR(N61="f",N61="g",N61="h",O61="f",O61="g",O61="h"),VLOOKUP("d",'Características dos Cabos'!$D$14:$K$18,4),IF(OR(N61="i",N61="j",N61="l",N61="m",O61="i",O61="j",O61="l",O61="m"),VLOOKUP("e",'Características dos Cabos'!$D$14:$K$18,4),"")))))</f>
        <v/>
      </c>
      <c r="Z61" s="281" t="str">
        <f t="shared" si="19"/>
        <v/>
      </c>
      <c r="AA61" s="282" t="str">
        <f t="shared" si="20"/>
        <v/>
      </c>
      <c r="AB61" s="455" t="e">
        <f>VLOOKUP(C61,$D$21:$R$35,12,FALSE)</f>
        <v>#N/A</v>
      </c>
      <c r="AC61" s="312">
        <f t="shared" si="21"/>
        <v>0</v>
      </c>
      <c r="AD61" s="312">
        <f t="shared" si="22"/>
        <v>0</v>
      </c>
      <c r="AE61" s="309"/>
    </row>
    <row r="62" spans="1:31" ht="14.25" customHeight="1" thickTop="1" thickBot="1">
      <c r="A62" s="2"/>
      <c r="B62" s="751"/>
      <c r="C62" s="70"/>
      <c r="D62" s="71"/>
      <c r="E62" s="72"/>
      <c r="F62" s="35" t="str">
        <f t="shared" si="3"/>
        <v/>
      </c>
      <c r="G62" s="55"/>
      <c r="H62" s="313" t="str">
        <f>IF(AND(E62="",G62=""),"",SUM(F62:G64))</f>
        <v/>
      </c>
      <c r="I62" s="266" t="str">
        <f>IF(OR(L62="",M62=""),"",IF(L62="3",VLOOKUP(N62,'K% (Rede Convencional)'!$B$18:$H$29,5),(IF(L62="2",VLOOKUP(O62,'K% (Rede Convencional)'!$B$18:$H$29,6),(IF(L62="1",VLOOKUP(O62,'K% (Rede Convencional)'!$B$18:$H$29,7)))))))</f>
        <v/>
      </c>
      <c r="J62" s="266" t="str">
        <f>IF(OR(L62="",M62=""),"",IF(L62="3",VLOOKUP(N62,'K% (Rede Convencional)'!$B$18:$E$29,2),(IF(L62="2",VLOOKUP(O62,'K% (Rede Convencional)'!$B$18:$E$29,3),(IF(L62="1",VLOOKUP(O62,'K% (Rede Convencional)'!$B$18:$E$29,4)))))))</f>
        <v/>
      </c>
      <c r="K62" s="266" t="str">
        <f t="shared" si="14"/>
        <v/>
      </c>
      <c r="L62" s="83"/>
      <c r="M62" s="83"/>
      <c r="N62" s="79">
        <f t="shared" si="10"/>
        <v>0</v>
      </c>
      <c r="O62" s="82" t="str">
        <f>IF(M62="","",IF(M62="4 (4)","a",IF(OR(M62="2 (4)",M62="2 (2)"),VLOOKUP(M62,mT!$AF$21:$AG$22,2,FALSE),IF(OR(M62="1/0 (4)",M62="1/0 (2)"),VLOOKUP(M62,mT!$AF$24:$AG$25,2,FALSE),IF(OR(M62="4/0 (4)",M62="4/0 (2)",M62="4/0 (1/0)"),VLOOKUP(M62,mT!$AF$27:$AG$29,2,FALSE),IF(OR(M62="336,4 (4)",M62="336,4 (2)",M62="336,4 (1/0)",M62="336,4 (4/0)"),VLOOKUP(M62,mT!$AF$31:$AG$34,2,FALSE),""))))))</f>
        <v/>
      </c>
      <c r="P62" s="55"/>
      <c r="Q62" s="268" t="str">
        <f t="shared" si="15"/>
        <v/>
      </c>
      <c r="R62" s="268" t="str">
        <f>IF(Q62="","",SUM($Q$20:Q62))</f>
        <v/>
      </c>
      <c r="S62" s="268" t="str">
        <f t="shared" si="16"/>
        <v/>
      </c>
      <c r="T62" s="269" t="str">
        <f>IF(OR(N62="a",O62="a"),VLOOKUP("a",'Características dos Cabos'!$D$25:$L$29,9),IF(OR(N62="b",N62="c",O62="b",O62="c"),VLOOKUP("b",'Características dos Cabos'!$D$25:$L$29,9),IF(OR(N62="d",N62="e",O62="d",O62="e"),VLOOKUP("c",'Características dos Cabos'!$D$25:$L$29,9),IF(OR(N62="f",N62="g",N62="h",O62="f",O62="g",O62="h"),VLOOKUP("d",'Características dos Cabos'!$D$25:$L$29,9),IF(OR(N62="i",N62="j",N62="l",N62="m",O62="i",O63="j",O63="l",O63="m"),VLOOKUP("e",'Características dos Cabos'!$D$25:$L$29,9),"")))))</f>
        <v/>
      </c>
      <c r="U62" s="269" t="str">
        <f>IF(OR(N62="a",O62="a"),VLOOKUP("a",'Características dos Cabos'!$D$14:$K$18,8),IF(OR(N62="b",N62="c",O62="b",O62="c"),VLOOKUP("b",'Características dos Cabos'!$D$14:$K$18,8),IF(OR(N62="d",N62="e",O62="d",O62="e"),VLOOKUP("c",'Características dos Cabos'!$D$14:$K$18,8),IF(OR(N62="f",N62="g",N62="h",O62="f",O62="g",O62="h"),VLOOKUP("d",'Características dos Cabos'!$D$14:$K$18,8),IF(OR(N62="i",N62="j",N62="l",N62="m",O62="i",O63="j",O63="l",O63="m"),VLOOKUP("e",'Características dos Cabos'!$D$14:$K$18,8),"")))))</f>
        <v/>
      </c>
      <c r="V62" s="269" t="str">
        <f t="shared" si="17"/>
        <v/>
      </c>
      <c r="W62" s="268" t="str">
        <f t="shared" si="18"/>
        <v/>
      </c>
      <c r="X62" s="314" t="str">
        <f>IF(OR(N62="a",O62="a"),VLOOKUP("a",'Características dos Cabos'!$D$25:$L$29,3),IF(OR(N62="b",N62="c",O62="b",O62="c"),VLOOKUP("b",'Características dos Cabos'!$D$25:$L$29,3),IF(OR(N62="d",N62="e",O62="d",O62="e"),VLOOKUP("c",'Características dos Cabos'!$D$25:$L$29,3),IF(OR(N62="f",N62="g",N62="h",O62="f",O62="g",O62="h"),VLOOKUP("d",'Características dos Cabos'!$D$25:$L$29,3),IF(OR(N62="i",N62="j",N62="l",N62="m",O62="i",O62="j",O62="l",O62="m"),VLOOKUP("e",'Características dos Cabos'!$D$25:$L$29,3),"")))))</f>
        <v/>
      </c>
      <c r="Y62" s="314" t="str">
        <f>IF(OR(N62="a",O62="a"),VLOOKUP("a",'Características dos Cabos'!$D$14:$K$18,4),IF(OR(N62="b",N62="c",O62="b",O62="c"),VLOOKUP("b",'Características dos Cabos'!$D$14:$K$18,4),IF(OR(N62="d",N62="e",O62="d",O62="e"),VLOOKUP("c",'Características dos Cabos'!$D$14:$K$18,4),IF(OR(N62="f",N62="g",N62="h",O62="f",O62="g",O62="h"),VLOOKUP("d",'Características dos Cabos'!$D$14:$K$18,4),IF(OR(N62="i",N62="j",N62="l",N62="m",O62="i",O62="j",O62="l",O62="m"),VLOOKUP("e",'Características dos Cabos'!$D$14:$K$18,4),"")))))</f>
        <v/>
      </c>
      <c r="Z62" s="269" t="str">
        <f t="shared" si="19"/>
        <v/>
      </c>
      <c r="AA62" s="270" t="str">
        <f t="shared" si="20"/>
        <v/>
      </c>
      <c r="AB62" s="309"/>
      <c r="AC62" s="312">
        <f t="shared" si="21"/>
        <v>0</v>
      </c>
      <c r="AD62" s="312">
        <f t="shared" si="22"/>
        <v>0</v>
      </c>
      <c r="AE62" s="309"/>
    </row>
    <row r="63" spans="1:31" ht="13.5" customHeight="1" thickTop="1" thickBot="1">
      <c r="A63" s="2"/>
      <c r="B63" s="751"/>
      <c r="C63" s="70"/>
      <c r="D63" s="71"/>
      <c r="E63" s="72"/>
      <c r="F63" s="35" t="str">
        <f t="shared" si="3"/>
        <v/>
      </c>
      <c r="G63" s="55"/>
      <c r="H63" s="313" t="str">
        <f>IF(AND(E63="",G63=""),"",SUM(F63:G64))</f>
        <v/>
      </c>
      <c r="I63" s="266" t="str">
        <f>IF(OR(L63="",M63=""),"",IF(L63="3",VLOOKUP(N63,'K% (Rede Convencional)'!$B$18:$H$29,5),(IF(L63="2",VLOOKUP(O63,'K% (Rede Convencional)'!$B$18:$H$29,6),(IF(L63="1",VLOOKUP(O63,'K% (Rede Convencional)'!$B$18:$H$29,7)))))))</f>
        <v/>
      </c>
      <c r="J63" s="266" t="str">
        <f>IF(OR(L63="",M63=""),"",IF(L63="3",VLOOKUP(N63,'K% (Rede Convencional)'!$B$18:$E$29,2),(IF(L63="2",VLOOKUP(O63,'K% (Rede Convencional)'!$B$18:$E$29,3),(IF(L63="1",VLOOKUP(O63,'K% (Rede Convencional)'!$B$18:$E$29,4)))))))</f>
        <v/>
      </c>
      <c r="K63" s="266" t="str">
        <f t="shared" si="14"/>
        <v/>
      </c>
      <c r="L63" s="83"/>
      <c r="M63" s="83"/>
      <c r="N63" s="79">
        <f t="shared" si="10"/>
        <v>0</v>
      </c>
      <c r="O63" s="82" t="str">
        <f>IF(M63="","",IF(M63="4 (4)","a",IF(OR(M63="2 (4)",M63="2 (2)"),VLOOKUP(M63,mT!$AF$21:$AG$22,2,FALSE),IF(OR(M63="1/0 (4)",M63="1/0 (2)"),VLOOKUP(M63,mT!$AF$24:$AG$25,2,FALSE),IF(OR(M63="4/0 (4)",M63="4/0 (2)",M63="4/0 (1/0)"),VLOOKUP(M63,mT!$AF$27:$AG$29,2,FALSE),IF(OR(M63="336,4 (4)",M63="336,4 (2)",M63="336,4 (1/0)",M63="336,4 (4/0)"),VLOOKUP(M63,mT!$AF$31:$AG$34,2,FALSE),""))))))</f>
        <v/>
      </c>
      <c r="P63" s="55"/>
      <c r="Q63" s="268" t="str">
        <f t="shared" si="15"/>
        <v/>
      </c>
      <c r="R63" s="268" t="str">
        <f>IF(Q63="","",SUM($Q$20:Q63))</f>
        <v/>
      </c>
      <c r="S63" s="268" t="str">
        <f t="shared" si="16"/>
        <v/>
      </c>
      <c r="T63" s="269" t="str">
        <f>IF(OR(N63="a",O63="a"),VLOOKUP("a",'Características dos Cabos'!$D$25:$L$29,9),IF(OR(N63="b",N63="c",O63="b",O63="c"),VLOOKUP("b",'Características dos Cabos'!$D$25:$L$29,9),IF(OR(N63="d",N63="e",O63="d",O63="e"),VLOOKUP("c",'Características dos Cabos'!$D$25:$L$29,9),IF(OR(N63="f",N63="g",N63="h",O63="f",O63="g",O63="h"),VLOOKUP("d",'Características dos Cabos'!$D$25:$L$29,9),IF(OR(N63="i",N63="j",N63="l",N63="m",O63="i",O64="j",O64="l",O64="m"),VLOOKUP("e",'Características dos Cabos'!$D$25:$L$29,9),"")))))</f>
        <v/>
      </c>
      <c r="U63" s="269" t="str">
        <f>IF(OR(N63="a",O63="a"),VLOOKUP("a",'Características dos Cabos'!$D$14:$K$18,8),IF(OR(N63="b",N63="c",O63="b",O63="c"),VLOOKUP("b",'Características dos Cabos'!$D$14:$K$18,8),IF(OR(N63="d",N63="e",O63="d",O63="e"),VLOOKUP("c",'Características dos Cabos'!$D$14:$K$18,8),IF(OR(N63="f",N63="g",N63="h",O63="f",O63="g",O63="h"),VLOOKUP("d",'Características dos Cabos'!$D$14:$K$18,8),IF(OR(N63="i",N63="j",N63="l",N63="m",O63="i",O64="j",O64="l",O64="m"),VLOOKUP("e",'Características dos Cabos'!$D$14:$K$18,8),"")))))</f>
        <v/>
      </c>
      <c r="V63" s="269" t="str">
        <f t="shared" si="17"/>
        <v/>
      </c>
      <c r="W63" s="268" t="str">
        <f t="shared" si="18"/>
        <v/>
      </c>
      <c r="X63" s="314" t="str">
        <f>IF(OR(N63="a",O63="a"),VLOOKUP("a",'Características dos Cabos'!$D$25:$L$29,3),IF(OR(N63="b",N63="c",O63="b",O63="c"),VLOOKUP("b",'Características dos Cabos'!$D$25:$L$29,3),IF(OR(N63="d",N63="e",O63="d",O63="e"),VLOOKUP("c",'Características dos Cabos'!$D$25:$L$29,3),IF(OR(N63="f",N63="g",N63="h",O63="f",O63="g",O63="h"),VLOOKUP("d",'Características dos Cabos'!$D$25:$L$29,3),IF(OR(N63="i",N63="j",N63="l",N63="m",O63="i",O63="j",O63="l",O63="m"),VLOOKUP("e",'Características dos Cabos'!$D$25:$L$29,3),"")))))</f>
        <v/>
      </c>
      <c r="Y63" s="314" t="str">
        <f>IF(OR(N63="a",O63="a"),VLOOKUP("a",'Características dos Cabos'!$D$14:$K$18,4),IF(OR(N63="b",N63="c",O63="b",O63="c"),VLOOKUP("b",'Características dos Cabos'!$D$14:$K$18,4),IF(OR(N63="d",N63="e",O63="d",O63="e"),VLOOKUP("c",'Características dos Cabos'!$D$14:$K$18,4),IF(OR(N63="f",N63="g",N63="h",O63="f",O63="g",O63="h"),VLOOKUP("d",'Características dos Cabos'!$D$14:$K$18,4),IF(OR(N63="i",N63="j",N63="l",N63="m",O63="i",O63="j",O63="l",O63="m"),VLOOKUP("e",'Características dos Cabos'!$D$14:$K$18,4),"")))))</f>
        <v/>
      </c>
      <c r="Z63" s="269" t="str">
        <f t="shared" si="19"/>
        <v/>
      </c>
      <c r="AA63" s="270" t="str">
        <f t="shared" si="20"/>
        <v/>
      </c>
      <c r="AB63" s="309"/>
      <c r="AC63" s="312">
        <f t="shared" si="21"/>
        <v>0</v>
      </c>
      <c r="AD63" s="312">
        <f t="shared" si="22"/>
        <v>0</v>
      </c>
      <c r="AE63" s="309"/>
    </row>
    <row r="64" spans="1:31" ht="13.5" customHeight="1" thickTop="1" thickBot="1">
      <c r="A64" s="2"/>
      <c r="B64" s="752"/>
      <c r="C64" s="73"/>
      <c r="D64" s="74"/>
      <c r="E64" s="75"/>
      <c r="F64" s="35" t="str">
        <f t="shared" si="3"/>
        <v/>
      </c>
      <c r="G64" s="56"/>
      <c r="H64" s="315" t="str">
        <f>IF(AND(E64="",G64=""),"",SUM(F64:G64))</f>
        <v/>
      </c>
      <c r="I64" s="287" t="str">
        <f>IF(OR(L64="",M64=""),"",IF(L64="3",VLOOKUP(N64,'K% (Rede Convencional)'!$B$18:$H$29,5),(IF(L64="2",VLOOKUP(O64,'K% (Rede Convencional)'!$B$18:$H$29,6),(IF(L64="1",VLOOKUP(O64,'K% (Rede Convencional)'!$B$18:$H$29,7)))))))</f>
        <v/>
      </c>
      <c r="J64" s="287" t="str">
        <f>IF(OR(L64="",M64=""),"",IF(L64="3",VLOOKUP(N64,'K% (Rede Convencional)'!$B$18:$E$29,2),(IF(L64="2",VLOOKUP(O64,'K% (Rede Convencional)'!$B$18:$E$29,3),(IF(L64="1",VLOOKUP(O64,'K% (Rede Convencional)'!$B$18:$E$29,4)))))))</f>
        <v/>
      </c>
      <c r="K64" s="287" t="str">
        <f t="shared" si="14"/>
        <v/>
      </c>
      <c r="L64" s="84"/>
      <c r="M64" s="84"/>
      <c r="N64" s="81">
        <f t="shared" si="10"/>
        <v>0</v>
      </c>
      <c r="O64" s="82" t="str">
        <f>IF(M64="","",IF(M64="4 (4)","a",IF(OR(M64="2 (4)",M64="2 (2)"),VLOOKUP(M64,mT!$AF$21:$AG$22,2,FALSE),IF(OR(M64="1/0 (4)",M64="1/0 (2)"),VLOOKUP(M64,mT!$AF$24:$AG$25,2,FALSE),IF(OR(M64="4/0 (4)",M64="4/0 (2)",M64="4/0 (1/0)"),VLOOKUP(M64,mT!$AF$27:$AG$29,2,FALSE),IF(OR(M64="336,4 (4)",M64="336,4 (2)",M64="336,4 (1/0)",M64="336,4 (4/0)"),VLOOKUP(M64,mT!$AF$31:$AG$34,2,FALSE),""))))))</f>
        <v/>
      </c>
      <c r="P64" s="56"/>
      <c r="Q64" s="289" t="str">
        <f t="shared" si="15"/>
        <v/>
      </c>
      <c r="R64" s="289" t="str">
        <f>IF(Q64="","",SUM($Q$20:Q64))</f>
        <v/>
      </c>
      <c r="S64" s="289" t="str">
        <f t="shared" si="16"/>
        <v/>
      </c>
      <c r="T64" s="290" t="str">
        <f>IF(OR(N64="a",O64="a"),VLOOKUP("a",'Características dos Cabos'!$D$25:$L$29,9),IF(OR(N64="b",N64="c",O64="b",O64="c"),VLOOKUP("b",'Características dos Cabos'!$D$25:$L$29,9),IF(OR(N64="d",N64="e",O64="d",O64="e"),VLOOKUP("c",'Características dos Cabos'!$D$25:$L$29,9),IF(OR(N64="f",N64="g",N64="h",O64="f",O64="g",O64="h"),VLOOKUP("d",'Características dos Cabos'!$D$25:$L$29,9),IF(OR(N64="i",N64="j",N64="l",N64="m",O64="i",O89="j",O89="l",O89="m"),VLOOKUP("e",'Características dos Cabos'!$D$25:$L$29,9),"")))))</f>
        <v/>
      </c>
      <c r="U64" s="290" t="str">
        <f>IF(OR(N64="a",O64="a"),VLOOKUP("a",'Características dos Cabos'!$D$14:$K$18,8),IF(OR(N64="b",N64="c",O64="b",O64="c"),VLOOKUP("b",'Características dos Cabos'!$D$14:$K$18,8),IF(OR(N64="d",N64="e",O64="d",O64="e"),VLOOKUP("c",'Características dos Cabos'!$D$14:$K$18,8),IF(OR(N64="f",N64="g",N64="h",O64="f",O64="g",O64="h"),VLOOKUP("d",'Características dos Cabos'!$D$14:$K$18,8),IF(OR(N64="i",N64="j",N64="l",N64="m",O64="i",O89="j",O89="l",O89="m"),VLOOKUP("e",'Características dos Cabos'!$D$14:$K$18,8),"")))))</f>
        <v/>
      </c>
      <c r="V64" s="290" t="str">
        <f t="shared" si="17"/>
        <v/>
      </c>
      <c r="W64" s="289" t="str">
        <f t="shared" si="18"/>
        <v/>
      </c>
      <c r="X64" s="316" t="str">
        <f>IF(OR(N64="a",O64="a"),VLOOKUP("a",'Características dos Cabos'!$D$25:$L$29,3),IF(OR(N64="b",N64="c",O64="b",O64="c"),VLOOKUP("b",'Características dos Cabos'!$D$25:$L$29,3),IF(OR(N64="d",N64="e",O64="d",O64="e"),VLOOKUP("c",'Características dos Cabos'!$D$25:$L$29,3),IF(OR(N64="f",N64="g",N64="h",O64="f",O64="g",O64="h"),VLOOKUP("d",'Características dos Cabos'!$D$25:$L$29,3),IF(OR(N64="i",N64="j",N64="l",N64="m",O64="i",O64="j",O64="l",O64="m"),VLOOKUP("e",'Características dos Cabos'!$D$25:$L$29,3),"")))))</f>
        <v/>
      </c>
      <c r="Y64" s="316" t="str">
        <f>IF(OR(N64="a",O64="a"),VLOOKUP("a",'Características dos Cabos'!$D$14:$K$18,4),IF(OR(N64="b",N64="c",O64="b",O64="c"),VLOOKUP("b",'Características dos Cabos'!$D$14:$K$18,4),IF(OR(N64="d",N64="e",O64="d",O64="e"),VLOOKUP("c",'Características dos Cabos'!$D$14:$K$18,4),IF(OR(N64="f",N64="g",N64="h",O64="f",O64="g",O64="h"),VLOOKUP("d",'Características dos Cabos'!$D$14:$K$18,4),IF(OR(N64="i",N64="j",N64="l",N64="m",O64="i",O64="j",O64="l",O64="m"),VLOOKUP("e",'Características dos Cabos'!$D$14:$K$18,4),"")))))</f>
        <v/>
      </c>
      <c r="Z64" s="290" t="str">
        <f t="shared" si="19"/>
        <v/>
      </c>
      <c r="AA64" s="291" t="str">
        <f t="shared" si="20"/>
        <v/>
      </c>
      <c r="AB64" s="309"/>
      <c r="AC64" s="312">
        <f t="shared" si="21"/>
        <v>0</v>
      </c>
      <c r="AD64" s="312">
        <f t="shared" si="22"/>
        <v>0</v>
      </c>
      <c r="AE64" s="309"/>
    </row>
    <row r="65" spans="1:31" ht="13.5" customHeight="1" thickTop="1">
      <c r="A65" s="2"/>
      <c r="B65" s="750" t="s">
        <v>234</v>
      </c>
      <c r="C65" s="59"/>
      <c r="D65" s="76"/>
      <c r="E65" s="68"/>
      <c r="F65" s="35" t="str">
        <f t="shared" si="3"/>
        <v/>
      </c>
      <c r="G65" s="69"/>
      <c r="H65" s="310" t="str">
        <f>IF(AND(E65="",G65=""),"",SUM(F65:G68))</f>
        <v/>
      </c>
      <c r="I65" s="279" t="str">
        <f>IF(OR(L65="",M65=""),"",IF(L65="3",VLOOKUP(N65,'K% (Rede Convencional)'!$B$18:$H$29,5),(IF(L65="2",VLOOKUP(O65,'K% (Rede Convencional)'!$B$18:$H$29,6),(IF(L65="1",VLOOKUP(O65,'K% (Rede Convencional)'!$B$18:$H$29,7)))))))</f>
        <v/>
      </c>
      <c r="J65" s="279" t="str">
        <f>IF(OR(L65="",M65=""),"",IF(L65="3",VLOOKUP(N65,'K% (Rede Convencional)'!$B$18:$E$29,2),(IF(L65="2",VLOOKUP(O65,'K% (Rede Convencional)'!$B$18:$E$29,3),(IF(L65="1",VLOOKUP(O65,'K% (Rede Convencional)'!$B$18:$E$29,4)))))))</f>
        <v/>
      </c>
      <c r="K65" s="279" t="str">
        <f t="shared" si="14"/>
        <v/>
      </c>
      <c r="L65" s="85"/>
      <c r="M65" s="85"/>
      <c r="N65" s="77">
        <f t="shared" si="10"/>
        <v>0</v>
      </c>
      <c r="O65" s="78" t="str">
        <f>IF(M65="","",IF(M65="4 (4)","a",IF(OR(M65="2 (4)",M65="2 (2)"),VLOOKUP(M65,mT!$AF$21:$AG$22,2,FALSE),IF(OR(M65="1/0 (4)",M65="1/0 (2)"),VLOOKUP(M65,mT!$AF$24:$AG$25,2,FALSE),IF(OR(M65="4/0 (4)",M65="4/0 (2)",M65="4/0 (1/0)"),VLOOKUP(M65,mT!$AF$27:$AG$29,2,FALSE),IF(OR(M65="336,4 (4)",M65="336,4 (2)",M65="336,4 (1/0)",M65="336,4 (4/0)"),VLOOKUP(M65,mT!$AF$31:$AG$34,2,FALSE),""))))))</f>
        <v/>
      </c>
      <c r="P65" s="69"/>
      <c r="Q65" s="280" t="str">
        <f t="shared" si="15"/>
        <v/>
      </c>
      <c r="R65" s="280" t="str">
        <f>IF(Q65="","",SUM($Q$20:Q65))</f>
        <v/>
      </c>
      <c r="S65" s="280" t="str">
        <f t="shared" si="16"/>
        <v/>
      </c>
      <c r="T65" s="281" t="str">
        <f>IF(OR(N65="a",O65="a"),VLOOKUP("a",'Características dos Cabos'!$D$25:$L$29,9),IF(OR(N65="b",N65="c",O65="b",O65="c"),VLOOKUP("b",'Características dos Cabos'!$D$25:$L$29,9),IF(OR(N65="d",N65="e",O65="d",O65="e"),VLOOKUP("c",'Características dos Cabos'!$D$25:$L$29,9),IF(OR(N65="f",N65="g",N65="h",O65="f",O65="g",O65="h"),VLOOKUP("d",'Características dos Cabos'!$D$25:$L$29,9),IF(OR(N65="i",N65="j",N65="l",N65="m",O65="i",O66="j",O66="l",O66="m"),VLOOKUP("e",'Características dos Cabos'!$D$25:$L$29,9),"")))))</f>
        <v/>
      </c>
      <c r="U65" s="281" t="str">
        <f>IF(OR(N65="a",O65="a"),VLOOKUP("a",'Características dos Cabos'!$D$14:$K$18,8),IF(OR(N65="b",N65="c",O65="b",O65="c"),VLOOKUP("b",'Características dos Cabos'!$D$14:$K$18,8),IF(OR(N65="d",N65="e",O65="d",O65="e"),VLOOKUP("c",'Características dos Cabos'!$D$14:$K$18,8),IF(OR(N65="f",N65="g",N65="h",O65="f",O65="g",O65="h"),VLOOKUP("d",'Características dos Cabos'!$D$14:$K$18,8),IF(OR(N65="i",N65="j",N65="l",N65="m",O65="i",O66="j",O66="l",O66="m"),VLOOKUP("e",'Características dos Cabos'!$D$14:$K$18,8),"")))))</f>
        <v/>
      </c>
      <c r="V65" s="281" t="str">
        <f t="shared" si="17"/>
        <v/>
      </c>
      <c r="W65" s="280" t="str">
        <f t="shared" si="18"/>
        <v/>
      </c>
      <c r="X65" s="311" t="str">
        <f>IF(OR(N65="a",O65="a"),VLOOKUP("a",'Características dos Cabos'!$D$25:$L$29,3),IF(OR(N65="b",N65="c",O65="b",O65="c"),VLOOKUP("b",'Características dos Cabos'!$D$25:$L$29,3),IF(OR(N65="d",N65="e",O65="d",O65="e"),VLOOKUP("c",'Características dos Cabos'!$D$25:$L$29,3),IF(OR(N65="f",N65="g",N65="h",O65="f",O65="g",O65="h"),VLOOKUP("d",'Características dos Cabos'!$D$25:$L$29,3),IF(OR(N65="i",N65="j",N65="l",N65="m",O65="i",O65="j",O65="l",O65="m"),VLOOKUP("e",'Características dos Cabos'!$D$25:$L$29,3),"")))))</f>
        <v/>
      </c>
      <c r="Y65" s="311" t="str">
        <f>IF(OR(N65="a",O65="a"),VLOOKUP("a",'Características dos Cabos'!$D$14:$K$18,4),IF(OR(N65="b",N65="c",O65="b",O65="c"),VLOOKUP("b",'Características dos Cabos'!$D$14:$K$18,4),IF(OR(N65="d",N65="e",O65="d",O65="e"),VLOOKUP("c",'Características dos Cabos'!$D$14:$K$18,4),IF(OR(N65="f",N65="g",N65="h",O65="f",O65="g",O65="h"),VLOOKUP("d",'Características dos Cabos'!$D$14:$K$18,4),IF(OR(N65="i",N65="j",N65="l",N65="m",O65="i",O65="j",O65="l",O65="m"),VLOOKUP("e",'Características dos Cabos'!$D$14:$K$18,4),"")))))</f>
        <v/>
      </c>
      <c r="Z65" s="281" t="str">
        <f t="shared" si="19"/>
        <v/>
      </c>
      <c r="AA65" s="282" t="str">
        <f t="shared" si="20"/>
        <v/>
      </c>
      <c r="AB65" s="455" t="e">
        <f>VLOOKUP(C65,$D$21:$R$35,12,FALSE)</f>
        <v>#N/A</v>
      </c>
      <c r="AC65" s="312">
        <f t="shared" si="21"/>
        <v>0</v>
      </c>
      <c r="AD65" s="312">
        <f t="shared" si="22"/>
        <v>0</v>
      </c>
      <c r="AE65" s="309"/>
    </row>
    <row r="66" spans="1:31" ht="14.25" customHeight="1">
      <c r="A66" s="2"/>
      <c r="B66" s="751"/>
      <c r="C66" s="70"/>
      <c r="D66" s="71"/>
      <c r="E66" s="72"/>
      <c r="F66" s="35" t="str">
        <f t="shared" si="3"/>
        <v/>
      </c>
      <c r="G66" s="55"/>
      <c r="H66" s="313" t="str">
        <f>IF(AND(E66="",G66=""),"",SUM(F66:G68))</f>
        <v/>
      </c>
      <c r="I66" s="266" t="str">
        <f>IF(OR(L66="",M66=""),"",IF(L66="3",VLOOKUP(N66,'K% (Rede Convencional)'!$B$18:$H$29,5),(IF(L66="2",VLOOKUP(O66,'K% (Rede Convencional)'!$B$18:$H$29,6),(IF(L66="1",VLOOKUP(O66,'K% (Rede Convencional)'!$B$18:$H$29,7)))))))</f>
        <v/>
      </c>
      <c r="J66" s="266" t="str">
        <f>IF(OR(L66="",M66=""),"",IF(L66="3",VLOOKUP(N66,'K% (Rede Convencional)'!$B$18:$E$29,2),(IF(L66="2",VLOOKUP(O66,'K% (Rede Convencional)'!$B$18:$E$29,3),(IF(L66="1",VLOOKUP(O66,'K% (Rede Convencional)'!$B$18:$E$29,4)))))))</f>
        <v/>
      </c>
      <c r="K66" s="266" t="str">
        <f t="shared" si="14"/>
        <v/>
      </c>
      <c r="L66" s="83"/>
      <c r="M66" s="83"/>
      <c r="N66" s="79">
        <f t="shared" si="10"/>
        <v>0</v>
      </c>
      <c r="O66" s="80" t="str">
        <f>IF(M66="","",IF(M66="4 (4)","a",IF(OR(M66="2 (4)",M66="2 (2)"),VLOOKUP(M66,mT!$AF$21:$AG$22,2,FALSE),IF(OR(M66="1/0 (4)",M66="1/0 (2)"),VLOOKUP(M66,mT!$AF$24:$AG$25,2,FALSE),IF(OR(M66="4/0 (4)",M66="4/0 (2)",M66="4/0 (1/0)"),VLOOKUP(M66,mT!$AF$27:$AG$29,2,FALSE),IF(OR(M66="336,4 (4)",M66="336,4 (2)",M66="336,4 (1/0)",M66="336,4 (4/0)"),VLOOKUP(M66,mT!$AF$31:$AG$34,2,FALSE),""))))))</f>
        <v/>
      </c>
      <c r="P66" s="55"/>
      <c r="Q66" s="268" t="str">
        <f t="shared" si="15"/>
        <v/>
      </c>
      <c r="R66" s="268" t="str">
        <f>IF(Q66="","",SUM($Q$20:Q66))</f>
        <v/>
      </c>
      <c r="S66" s="268" t="str">
        <f t="shared" si="16"/>
        <v/>
      </c>
      <c r="T66" s="269" t="str">
        <f>IF(OR(N66="a",O66="a"),VLOOKUP("a",'Características dos Cabos'!$D$25:$L$29,9),IF(OR(N66="b",N66="c",O66="b",O66="c"),VLOOKUP("b",'Características dos Cabos'!$D$25:$L$29,9),IF(OR(N66="d",N66="e",O66="d",O66="e"),VLOOKUP("c",'Características dos Cabos'!$D$25:$L$29,9),IF(OR(N66="f",N66="g",N66="h",O66="f",O66="g",O66="h"),VLOOKUP("d",'Características dos Cabos'!$D$25:$L$29,9),IF(OR(N66="i",N66="j",N66="l",N66="m",O66="i",O67="j",O67="l",O67="m"),VLOOKUP("e",'Características dos Cabos'!$D$25:$L$29,9),"")))))</f>
        <v/>
      </c>
      <c r="U66" s="269" t="str">
        <f>IF(OR(N66="a",O66="a"),VLOOKUP("a",'Características dos Cabos'!$D$14:$K$18,8),IF(OR(N66="b",N66="c",O66="b",O66="c"),VLOOKUP("b",'Características dos Cabos'!$D$14:$K$18,8),IF(OR(N66="d",N66="e",O66="d",O66="e"),VLOOKUP("c",'Características dos Cabos'!$D$14:$K$18,8),IF(OR(N66="f",N66="g",N66="h",O66="f",O66="g",O66="h"),VLOOKUP("d",'Características dos Cabos'!$D$14:$K$18,8),IF(OR(N66="i",N66="j",N66="l",N66="m",O66="i",O67="j",O67="l",O67="m"),VLOOKUP("e",'Características dos Cabos'!$D$14:$K$18,8),"")))))</f>
        <v/>
      </c>
      <c r="V66" s="269" t="str">
        <f t="shared" si="17"/>
        <v/>
      </c>
      <c r="W66" s="268" t="str">
        <f t="shared" si="18"/>
        <v/>
      </c>
      <c r="X66" s="314" t="str">
        <f>IF(OR(N66="a",O66="a"),VLOOKUP("a",'Características dos Cabos'!$D$25:$L$29,3),IF(OR(N66="b",N66="c",O66="b",O66="c"),VLOOKUP("b",'Características dos Cabos'!$D$25:$L$29,3),IF(OR(N66="d",N66="e",O66="d",O66="e"),VLOOKUP("c",'Características dos Cabos'!$D$25:$L$29,3),IF(OR(N66="f",N66="g",N66="h",O66="f",O66="g",O66="h"),VLOOKUP("d",'Características dos Cabos'!$D$25:$L$29,3),IF(OR(N66="i",N66="j",N66="l",N66="m",O66="i",O66="j",O66="l",O66="m"),VLOOKUP("e",'Características dos Cabos'!$D$25:$L$29,3),"")))))</f>
        <v/>
      </c>
      <c r="Y66" s="314" t="str">
        <f>IF(OR(N66="a",O66="a"),VLOOKUP("a",'Características dos Cabos'!$D$14:$K$18,4),IF(OR(N66="b",N66="c",O66="b",O66="c"),VLOOKUP("b",'Características dos Cabos'!$D$14:$K$18,4),IF(OR(N66="d",N66="e",O66="d",O66="e"),VLOOKUP("c",'Características dos Cabos'!$D$14:$K$18,4),IF(OR(N66="f",N66="g",N66="h",O66="f",O66="g",O66="h"),VLOOKUP("d",'Características dos Cabos'!$D$14:$K$18,4),IF(OR(N66="i",N66="j",N66="l",N66="m",O66="i",O66="j",O66="l",O66="m"),VLOOKUP("e",'Características dos Cabos'!$D$14:$K$18,4),"")))))</f>
        <v/>
      </c>
      <c r="Z66" s="269" t="str">
        <f t="shared" si="19"/>
        <v/>
      </c>
      <c r="AA66" s="270" t="str">
        <f t="shared" si="20"/>
        <v/>
      </c>
      <c r="AB66" s="309"/>
      <c r="AC66" s="312">
        <f t="shared" si="21"/>
        <v>0</v>
      </c>
      <c r="AD66" s="312">
        <f t="shared" si="22"/>
        <v>0</v>
      </c>
      <c r="AE66" s="309"/>
    </row>
    <row r="67" spans="1:31" ht="13.5" customHeight="1">
      <c r="A67" s="2"/>
      <c r="B67" s="751"/>
      <c r="C67" s="70"/>
      <c r="D67" s="71"/>
      <c r="E67" s="72"/>
      <c r="F67" s="35" t="str">
        <f t="shared" si="3"/>
        <v/>
      </c>
      <c r="G67" s="55"/>
      <c r="H67" s="313" t="str">
        <f>IF(AND(E67="",G67=""),"",SUM(F67:G68))</f>
        <v/>
      </c>
      <c r="I67" s="266" t="str">
        <f>IF(OR(L67="",M67=""),"",IF(L67="3",VLOOKUP(N67,'K% (Rede Convencional)'!$B$18:$H$29,5),(IF(L67="2",VLOOKUP(O67,'K% (Rede Convencional)'!$B$18:$H$29,6),(IF(L67="1",VLOOKUP(O67,'K% (Rede Convencional)'!$B$18:$H$29,7)))))))</f>
        <v/>
      </c>
      <c r="J67" s="266" t="str">
        <f>IF(OR(L67="",M67=""),"",IF(L67="3",VLOOKUP(N67,'K% (Rede Convencional)'!$B$18:$E$29,2),(IF(L67="2",VLOOKUP(O67,'K% (Rede Convencional)'!$B$18:$E$29,3),(IF(L67="1",VLOOKUP(O67,'K% (Rede Convencional)'!$B$18:$E$29,4)))))))</f>
        <v/>
      </c>
      <c r="K67" s="266" t="str">
        <f t="shared" si="14"/>
        <v/>
      </c>
      <c r="L67" s="83"/>
      <c r="M67" s="83"/>
      <c r="N67" s="79">
        <f t="shared" si="10"/>
        <v>0</v>
      </c>
      <c r="O67" s="80" t="str">
        <f>IF(M67="","",IF(M67="4 (4)","a",IF(OR(M67="2 (4)",M67="2 (2)"),VLOOKUP(M67,mT!$AF$21:$AG$22,2,FALSE),IF(OR(M67="1/0 (4)",M67="1/0 (2)"),VLOOKUP(M67,mT!$AF$24:$AG$25,2,FALSE),IF(OR(M67="4/0 (4)",M67="4/0 (2)",M67="4/0 (1/0)"),VLOOKUP(M67,mT!$AF$27:$AG$29,2,FALSE),IF(OR(M67="336,4 (4)",M67="336,4 (2)",M67="336,4 (1/0)",M67="336,4 (4/0)"),VLOOKUP(M67,mT!$AF$31:$AG$34,2,FALSE),""))))))</f>
        <v/>
      </c>
      <c r="P67" s="55"/>
      <c r="Q67" s="268" t="str">
        <f t="shared" si="15"/>
        <v/>
      </c>
      <c r="R67" s="268" t="str">
        <f>IF(Q67="","",SUM($Q$20:Q67))</f>
        <v/>
      </c>
      <c r="S67" s="268" t="str">
        <f t="shared" si="16"/>
        <v/>
      </c>
      <c r="T67" s="269" t="str">
        <f>IF(OR(N67="a",O67="a"),VLOOKUP("a",'Características dos Cabos'!$D$25:$L$29,9),IF(OR(N67="b",N67="c",O67="b",O67="c"),VLOOKUP("b",'Características dos Cabos'!$D$25:$L$29,9),IF(OR(N67="d",N67="e",O67="d",O67="e"),VLOOKUP("c",'Características dos Cabos'!$D$25:$L$29,9),IF(OR(N67="f",N67="g",N67="h",O67="f",O67="g",O67="h"),VLOOKUP("d",'Características dos Cabos'!$D$25:$L$29,9),IF(OR(N67="i",N67="j",N67="l",N67="m",O67="i",O68="j",O68="l",O68="m"),VLOOKUP("e",'Características dos Cabos'!$D$25:$L$29,9),"")))))</f>
        <v/>
      </c>
      <c r="U67" s="269" t="str">
        <f>IF(OR(N67="a",O67="a"),VLOOKUP("a",'Características dos Cabos'!$D$14:$K$18,8),IF(OR(N67="b",N67="c",O67="b",O67="c"),VLOOKUP("b",'Características dos Cabos'!$D$14:$K$18,8),IF(OR(N67="d",N67="e",O67="d",O67="e"),VLOOKUP("c",'Características dos Cabos'!$D$14:$K$18,8),IF(OR(N67="f",N67="g",N67="h",O67="f",O67="g",O67="h"),VLOOKUP("d",'Características dos Cabos'!$D$14:$K$18,8),IF(OR(N67="i",N67="j",N67="l",N67="m",O67="i",O68="j",O68="l",O68="m"),VLOOKUP("e",'Características dos Cabos'!$D$14:$K$18,8),"")))))</f>
        <v/>
      </c>
      <c r="V67" s="269" t="str">
        <f t="shared" si="17"/>
        <v/>
      </c>
      <c r="W67" s="268" t="str">
        <f t="shared" si="18"/>
        <v/>
      </c>
      <c r="X67" s="314" t="str">
        <f>IF(OR(N67="a",O67="a"),VLOOKUP("a",'Características dos Cabos'!$D$25:$L$29,3),IF(OR(N67="b",N67="c",O67="b",O67="c"),VLOOKUP("b",'Características dos Cabos'!$D$25:$L$29,3),IF(OR(N67="d",N67="e",O67="d",O67="e"),VLOOKUP("c",'Características dos Cabos'!$D$25:$L$29,3),IF(OR(N67="f",N67="g",N67="h",O67="f",O67="g",O67="h"),VLOOKUP("d",'Características dos Cabos'!$D$25:$L$29,3),IF(OR(N67="i",N67="j",N67="l",N67="m",O67="i",O67="j",O67="l",O67="m"),VLOOKUP("e",'Características dos Cabos'!$D$25:$L$29,3),"")))))</f>
        <v/>
      </c>
      <c r="Y67" s="314" t="str">
        <f>IF(OR(N67="a",O67="a"),VLOOKUP("a",'Características dos Cabos'!$D$14:$K$18,4),IF(OR(N67="b",N67="c",O67="b",O67="c"),VLOOKUP("b",'Características dos Cabos'!$D$14:$K$18,4),IF(OR(N67="d",N67="e",O67="d",O67="e"),VLOOKUP("c",'Características dos Cabos'!$D$14:$K$18,4),IF(OR(N67="f",N67="g",N67="h",O67="f",O67="g",O67="h"),VLOOKUP("d",'Características dos Cabos'!$D$14:$K$18,4),IF(OR(N67="i",N67="j",N67="l",N67="m",O67="i",O67="j",O67="l",O67="m"),VLOOKUP("e",'Características dos Cabos'!$D$14:$K$18,4),"")))))</f>
        <v/>
      </c>
      <c r="Z67" s="269" t="str">
        <f t="shared" si="19"/>
        <v/>
      </c>
      <c r="AA67" s="270" t="str">
        <f t="shared" si="20"/>
        <v/>
      </c>
      <c r="AB67" s="309"/>
      <c r="AC67" s="312">
        <f t="shared" si="21"/>
        <v>0</v>
      </c>
      <c r="AD67" s="312">
        <f t="shared" si="22"/>
        <v>0</v>
      </c>
      <c r="AE67" s="309"/>
    </row>
    <row r="68" spans="1:31" ht="13.5" customHeight="1" thickBot="1">
      <c r="A68" s="2"/>
      <c r="B68" s="752"/>
      <c r="C68" s="73"/>
      <c r="D68" s="74"/>
      <c r="E68" s="75"/>
      <c r="F68" s="35" t="str">
        <f t="shared" si="3"/>
        <v/>
      </c>
      <c r="G68" s="56"/>
      <c r="H68" s="315" t="str">
        <f>IF(AND(E68="",G68=""),"",SUM(F68:G68))</f>
        <v/>
      </c>
      <c r="I68" s="287" t="str">
        <f>IF(OR(L68="",M68=""),"",IF(L68="3",VLOOKUP(N68,'K% (Rede Convencional)'!$B$18:$H$29,5),(IF(L68="2",VLOOKUP(O68,'K% (Rede Convencional)'!$B$18:$H$29,6),(IF(L68="1",VLOOKUP(O68,'K% (Rede Convencional)'!$B$18:$H$29,7)))))))</f>
        <v/>
      </c>
      <c r="J68" s="287" t="str">
        <f>IF(OR(L68="",M68=""),"",IF(L68="3",VLOOKUP(N68,'K% (Rede Convencional)'!$B$18:$E$29,2),(IF(L68="2",VLOOKUP(O68,'K% (Rede Convencional)'!$B$18:$E$29,3),(IF(L68="1",VLOOKUP(O68,'K% (Rede Convencional)'!$B$18:$E$29,4)))))))</f>
        <v/>
      </c>
      <c r="K68" s="287" t="str">
        <f t="shared" si="14"/>
        <v/>
      </c>
      <c r="L68" s="84"/>
      <c r="M68" s="84"/>
      <c r="N68" s="81">
        <f t="shared" si="10"/>
        <v>0</v>
      </c>
      <c r="O68" s="82" t="str">
        <f>IF(M68="","",IF(M68="4 (4)","a",IF(OR(M68="2 (4)",M68="2 (2)"),VLOOKUP(M68,mT!$AF$21:$AG$22,2,FALSE),IF(OR(M68="1/0 (4)",M68="1/0 (2)"),VLOOKUP(M68,mT!$AF$24:$AG$25,2,FALSE),IF(OR(M68="4/0 (4)",M68="4/0 (2)",M68="4/0 (1/0)"),VLOOKUP(M68,mT!$AF$27:$AG$29,2,FALSE),IF(OR(M68="336,4 (4)",M68="336,4 (2)",M68="336,4 (1/0)",M68="336,4 (4/0)"),VLOOKUP(M68,mT!$AF$31:$AG$34,2,FALSE),""))))))</f>
        <v/>
      </c>
      <c r="P68" s="56"/>
      <c r="Q68" s="289" t="str">
        <f t="shared" si="15"/>
        <v/>
      </c>
      <c r="R68" s="289" t="str">
        <f>IF(Q68="","",SUM($Q$20:Q68))</f>
        <v/>
      </c>
      <c r="S68" s="289" t="str">
        <f t="shared" si="16"/>
        <v/>
      </c>
      <c r="T68" s="290" t="str">
        <f>IF(OR(N68="a",O68="a"),VLOOKUP("a",'Características dos Cabos'!$D$25:$L$29,9),IF(OR(N68="b",N68="c",O68="b",O68="c"),VLOOKUP("b",'Características dos Cabos'!$D$25:$L$29,9),IF(OR(N68="d",N68="e",O68="d",O68="e"),VLOOKUP("c",'Características dos Cabos'!$D$25:$L$29,9),IF(OR(N68="f",N68="g",N68="h",O68="f",O68="g",O68="h"),VLOOKUP("d",'Características dos Cabos'!$D$25:$L$29,9),IF(OR(N68="i",N68="j",N68="l",N68="m",O68="i",O93="j",O93="l",O93="m"),VLOOKUP("e",'Características dos Cabos'!$D$25:$L$29,9),"")))))</f>
        <v/>
      </c>
      <c r="U68" s="290" t="str">
        <f>IF(OR(N68="a",O68="a"),VLOOKUP("a",'Características dos Cabos'!$D$14:$K$18,8),IF(OR(N68="b",N68="c",O68="b",O68="c"),VLOOKUP("b",'Características dos Cabos'!$D$14:$K$18,8),IF(OR(N68="d",N68="e",O68="d",O68="e"),VLOOKUP("c",'Características dos Cabos'!$D$14:$K$18,8),IF(OR(N68="f",N68="g",N68="h",O68="f",O68="g",O68="h"),VLOOKUP("d",'Características dos Cabos'!$D$14:$K$18,8),IF(OR(N68="i",N68="j",N68="l",N68="m",O68="i",O93="j",O93="l",O93="m"),VLOOKUP("e",'Características dos Cabos'!$D$14:$K$18,8),"")))))</f>
        <v/>
      </c>
      <c r="V68" s="290" t="str">
        <f t="shared" si="17"/>
        <v/>
      </c>
      <c r="W68" s="289" t="str">
        <f t="shared" si="18"/>
        <v/>
      </c>
      <c r="X68" s="316" t="str">
        <f>IF(OR(N68="a",O68="a"),VLOOKUP("a",'Características dos Cabos'!$D$25:$L$29,3),IF(OR(N68="b",N68="c",O68="b",O68="c"),VLOOKUP("b",'Características dos Cabos'!$D$25:$L$29,3),IF(OR(N68="d",N68="e",O68="d",O68="e"),VLOOKUP("c",'Características dos Cabos'!$D$25:$L$29,3),IF(OR(N68="f",N68="g",N68="h",O68="f",O68="g",O68="h"),VLOOKUP("d",'Características dos Cabos'!$D$25:$L$29,3),IF(OR(N68="i",N68="j",N68="l",N68="m",O68="i",O68="j",O68="l",O68="m"),VLOOKUP("e",'Características dos Cabos'!$D$25:$L$29,3),"")))))</f>
        <v/>
      </c>
      <c r="Y68" s="316" t="str">
        <f>IF(OR(N68="a",O68="a"),VLOOKUP("a",'Características dos Cabos'!$D$14:$K$18,4),IF(OR(N68="b",N68="c",O68="b",O68="c"),VLOOKUP("b",'Características dos Cabos'!$D$14:$K$18,4),IF(OR(N68="d",N68="e",O68="d",O68="e"),VLOOKUP("c",'Características dos Cabos'!$D$14:$K$18,4),IF(OR(N68="f",N68="g",N68="h",O68="f",O68="g",O68="h"),VLOOKUP("d",'Características dos Cabos'!$D$14:$K$18,4),IF(OR(N68="i",N68="j",N68="l",N68="m",O68="i",O68="j",O68="l",O68="m"),VLOOKUP("e",'Características dos Cabos'!$D$14:$K$18,4),"")))))</f>
        <v/>
      </c>
      <c r="Z68" s="290" t="str">
        <f t="shared" si="19"/>
        <v/>
      </c>
      <c r="AA68" s="291" t="str">
        <f t="shared" si="20"/>
        <v/>
      </c>
      <c r="AB68" s="309"/>
      <c r="AC68" s="312">
        <f t="shared" si="21"/>
        <v>0</v>
      </c>
      <c r="AD68" s="312">
        <f t="shared" si="22"/>
        <v>0</v>
      </c>
      <c r="AE68" s="309"/>
    </row>
    <row r="69" spans="1:31" ht="13.5" customHeight="1" thickTop="1">
      <c r="A69" s="2"/>
      <c r="B69" s="750" t="s">
        <v>235</v>
      </c>
      <c r="C69" s="59"/>
      <c r="D69" s="76"/>
      <c r="E69" s="68"/>
      <c r="F69" s="35" t="str">
        <f t="shared" si="3"/>
        <v/>
      </c>
      <c r="G69" s="69"/>
      <c r="H69" s="310" t="str">
        <f>IF(AND(E69="",G69=""),"",SUM(F69:G72))</f>
        <v/>
      </c>
      <c r="I69" s="279" t="str">
        <f>IF(OR(L69="",M69=""),"",IF(L69="3",VLOOKUP(N69,'K% (Rede Convencional)'!$B$18:$H$29,5),(IF(L69="2",VLOOKUP(O69,'K% (Rede Convencional)'!$B$18:$H$29,6),(IF(L69="1",VLOOKUP(O69,'K% (Rede Convencional)'!$B$18:$H$29,7)))))))</f>
        <v/>
      </c>
      <c r="J69" s="279" t="str">
        <f>IF(OR(L69="",M69=""),"",IF(L69="3",VLOOKUP(N69,'K% (Rede Convencional)'!$B$18:$E$29,2),(IF(L69="2",VLOOKUP(O69,'K% (Rede Convencional)'!$B$18:$E$29,3),(IF(L69="1",VLOOKUP(O69,'K% (Rede Convencional)'!$B$18:$E$29,4)))))))</f>
        <v/>
      </c>
      <c r="K69" s="279" t="str">
        <f t="shared" si="14"/>
        <v/>
      </c>
      <c r="L69" s="85"/>
      <c r="M69" s="85"/>
      <c r="N69" s="77">
        <f t="shared" si="10"/>
        <v>0</v>
      </c>
      <c r="O69" s="78" t="str">
        <f>IF(M69="","",IF(M69="4 (4)","a",IF(OR(M69="2 (4)",M69="2 (2)"),VLOOKUP(M69,mT!$AF$21:$AG$22,2,FALSE),IF(OR(M69="1/0 (4)",M69="1/0 (2)"),VLOOKUP(M69,mT!$AF$24:$AG$25,2,FALSE),IF(OR(M69="4/0 (4)",M69="4/0 (2)",M69="4/0 (1/0)"),VLOOKUP(M69,mT!$AF$27:$AG$29,2,FALSE),IF(OR(M69="336,4 (4)",M69="336,4 (2)",M69="336,4 (1/0)",M69="336,4 (4/0)"),VLOOKUP(M69,mT!$AF$31:$AG$34,2,FALSE),""))))))</f>
        <v/>
      </c>
      <c r="P69" s="69"/>
      <c r="Q69" s="280" t="str">
        <f t="shared" si="15"/>
        <v/>
      </c>
      <c r="R69" s="280" t="str">
        <f>IF(Q69="","",SUM($Q$20:Q69))</f>
        <v/>
      </c>
      <c r="S69" s="280" t="str">
        <f t="shared" si="16"/>
        <v/>
      </c>
      <c r="T69" s="281" t="str">
        <f>IF(OR(N69="a",O69="a"),VLOOKUP("a",'Características dos Cabos'!$D$25:$L$29,9),IF(OR(N69="b",N69="c",O69="b",O69="c"),VLOOKUP("b",'Características dos Cabos'!$D$25:$L$29,9),IF(OR(N69="d",N69="e",O69="d",O69="e"),VLOOKUP("c",'Características dos Cabos'!$D$25:$L$29,9),IF(OR(N69="f",N69="g",N69="h",O69="f",O69="g",O69="h"),VLOOKUP("d",'Características dos Cabos'!$D$25:$L$29,9),IF(OR(N69="i",N69="j",N69="l",N69="m",O69="i",O70="j",O70="l",O70="m"),VLOOKUP("e",'Características dos Cabos'!$D$25:$L$29,9),"")))))</f>
        <v/>
      </c>
      <c r="U69" s="281" t="str">
        <f>IF(OR(N69="a",O69="a"),VLOOKUP("a",'Características dos Cabos'!$D$14:$K$18,8),IF(OR(N69="b",N69="c",O69="b",O69="c"),VLOOKUP("b",'Características dos Cabos'!$D$14:$K$18,8),IF(OR(N69="d",N69="e",O69="d",O69="e"),VLOOKUP("c",'Características dos Cabos'!$D$14:$K$18,8),IF(OR(N69="f",N69="g",N69="h",O69="f",O69="g",O69="h"),VLOOKUP("d",'Características dos Cabos'!$D$14:$K$18,8),IF(OR(N69="i",N69="j",N69="l",N69="m",O69="i",O70="j",O70="l",O70="m"),VLOOKUP("e",'Características dos Cabos'!$D$14:$K$18,8),"")))))</f>
        <v/>
      </c>
      <c r="V69" s="281" t="str">
        <f t="shared" si="17"/>
        <v/>
      </c>
      <c r="W69" s="280" t="str">
        <f t="shared" si="18"/>
        <v/>
      </c>
      <c r="X69" s="311" t="str">
        <f>IF(OR(N69="a",O69="a"),VLOOKUP("a",'Características dos Cabos'!$D$25:$L$29,3),IF(OR(N69="b",N69="c",O69="b",O69="c"),VLOOKUP("b",'Características dos Cabos'!$D$25:$L$29,3),IF(OR(N69="d",N69="e",O69="d",O69="e"),VLOOKUP("c",'Características dos Cabos'!$D$25:$L$29,3),IF(OR(N69="f",N69="g",N69="h",O69="f",O69="g",O69="h"),VLOOKUP("d",'Características dos Cabos'!$D$25:$L$29,3),IF(OR(N69="i",N69="j",N69="l",N69="m",O69="i",O69="j",O69="l",O69="m"),VLOOKUP("e",'Características dos Cabos'!$D$25:$L$29,3),"")))))</f>
        <v/>
      </c>
      <c r="Y69" s="311" t="str">
        <f>IF(OR(N69="a",O69="a"),VLOOKUP("a",'Características dos Cabos'!$D$14:$K$18,4),IF(OR(N69="b",N69="c",O69="b",O69="c"),VLOOKUP("b",'Características dos Cabos'!$D$14:$K$18,4),IF(OR(N69="d",N69="e",O69="d",O69="e"),VLOOKUP("c",'Características dos Cabos'!$D$14:$K$18,4),IF(OR(N69="f",N69="g",N69="h",O69="f",O69="g",O69="h"),VLOOKUP("d",'Características dos Cabos'!$D$14:$K$18,4),IF(OR(N69="i",N69="j",N69="l",N69="m",O69="i",O69="j",O69="l",O69="m"),VLOOKUP("e",'Características dos Cabos'!$D$14:$K$18,4),"")))))</f>
        <v/>
      </c>
      <c r="Z69" s="281" t="str">
        <f t="shared" si="19"/>
        <v/>
      </c>
      <c r="AA69" s="282" t="str">
        <f t="shared" si="20"/>
        <v/>
      </c>
      <c r="AB69" s="455" t="e">
        <f>VLOOKUP(C69,$D$21:$R$35,12,FALSE)</f>
        <v>#N/A</v>
      </c>
      <c r="AC69" s="312">
        <f t="shared" si="21"/>
        <v>0</v>
      </c>
      <c r="AD69" s="312">
        <f t="shared" si="22"/>
        <v>0</v>
      </c>
      <c r="AE69" s="309"/>
    </row>
    <row r="70" spans="1:31" ht="14.25" customHeight="1">
      <c r="A70" s="2"/>
      <c r="B70" s="751"/>
      <c r="C70" s="70"/>
      <c r="D70" s="71"/>
      <c r="E70" s="72"/>
      <c r="F70" s="35" t="str">
        <f t="shared" si="3"/>
        <v/>
      </c>
      <c r="G70" s="55"/>
      <c r="H70" s="313" t="str">
        <f>IF(AND(E70="",G70=""),"",SUM(F70:G72))</f>
        <v/>
      </c>
      <c r="I70" s="266" t="str">
        <f>IF(OR(L70="",M70=""),"",IF(L70="3",VLOOKUP(N70,'K% (Rede Convencional)'!$B$18:$H$29,5),(IF(L70="2",VLOOKUP(O70,'K% (Rede Convencional)'!$B$18:$H$29,6),(IF(L70="1",VLOOKUP(O70,'K% (Rede Convencional)'!$B$18:$H$29,7)))))))</f>
        <v/>
      </c>
      <c r="J70" s="266" t="str">
        <f>IF(OR(L70="",M70=""),"",IF(L70="3",VLOOKUP(N70,'K% (Rede Convencional)'!$B$18:$E$29,2),(IF(L70="2",VLOOKUP(O70,'K% (Rede Convencional)'!$B$18:$E$29,3),(IF(L70="1",VLOOKUP(O70,'K% (Rede Convencional)'!$B$18:$E$29,4)))))))</f>
        <v/>
      </c>
      <c r="K70" s="266" t="str">
        <f t="shared" si="14"/>
        <v/>
      </c>
      <c r="L70" s="83"/>
      <c r="M70" s="83"/>
      <c r="N70" s="79">
        <f t="shared" si="10"/>
        <v>0</v>
      </c>
      <c r="O70" s="80" t="str">
        <f>IF(M70="","",IF(M70="4 (4)","a",IF(OR(M70="2 (4)",M70="2 (2)"),VLOOKUP(M70,mT!$AF$21:$AG$22,2,FALSE),IF(OR(M70="1/0 (4)",M70="1/0 (2)"),VLOOKUP(M70,mT!$AF$24:$AG$25,2,FALSE),IF(OR(M70="4/0 (4)",M70="4/0 (2)",M70="4/0 (1/0)"),VLOOKUP(M70,mT!$AF$27:$AG$29,2,FALSE),IF(OR(M70="336,4 (4)",M70="336,4 (2)",M70="336,4 (1/0)",M70="336,4 (4/0)"),VLOOKUP(M70,mT!$AF$31:$AG$34,2,FALSE),""))))))</f>
        <v/>
      </c>
      <c r="P70" s="55"/>
      <c r="Q70" s="268" t="str">
        <f t="shared" si="15"/>
        <v/>
      </c>
      <c r="R70" s="268" t="str">
        <f>IF(Q70="","",SUM($Q$20:Q70))</f>
        <v/>
      </c>
      <c r="S70" s="268" t="str">
        <f t="shared" si="16"/>
        <v/>
      </c>
      <c r="T70" s="269" t="str">
        <f>IF(OR(N70="a",O70="a"),VLOOKUP("a",'Características dos Cabos'!$D$25:$L$29,9),IF(OR(N70="b",N70="c",O70="b",O70="c"),VLOOKUP("b",'Características dos Cabos'!$D$25:$L$29,9),IF(OR(N70="d",N70="e",O70="d",O70="e"),VLOOKUP("c",'Características dos Cabos'!$D$25:$L$29,9),IF(OR(N70="f",N70="g",N70="h",O70="f",O70="g",O70="h"),VLOOKUP("d",'Características dos Cabos'!$D$25:$L$29,9),IF(OR(N70="i",N70="j",N70="l",N70="m",O70="i",O71="j",O71="l",O71="m"),VLOOKUP("e",'Características dos Cabos'!$D$25:$L$29,9),"")))))</f>
        <v/>
      </c>
      <c r="U70" s="269" t="str">
        <f>IF(OR(N70="a",O70="a"),VLOOKUP("a",'Características dos Cabos'!$D$14:$K$18,8),IF(OR(N70="b",N70="c",O70="b",O70="c"),VLOOKUP("b",'Características dos Cabos'!$D$14:$K$18,8),IF(OR(N70="d",N70="e",O70="d",O70="e"),VLOOKUP("c",'Características dos Cabos'!$D$14:$K$18,8),IF(OR(N70="f",N70="g",N70="h",O70="f",O70="g",O70="h"),VLOOKUP("d",'Características dos Cabos'!$D$14:$K$18,8),IF(OR(N70="i",N70="j",N70="l",N70="m",O70="i",O71="j",O71="l",O71="m"),VLOOKUP("e",'Características dos Cabos'!$D$14:$K$18,8),"")))))</f>
        <v/>
      </c>
      <c r="V70" s="269" t="str">
        <f t="shared" si="17"/>
        <v/>
      </c>
      <c r="W70" s="268" t="str">
        <f t="shared" si="18"/>
        <v/>
      </c>
      <c r="X70" s="314" t="str">
        <f>IF(OR(N70="a",O70="a"),VLOOKUP("a",'Características dos Cabos'!$D$25:$L$29,3),IF(OR(N70="b",N70="c",O70="b",O70="c"),VLOOKUP("b",'Características dos Cabos'!$D$25:$L$29,3),IF(OR(N70="d",N70="e",O70="d",O70="e"),VLOOKUP("c",'Características dos Cabos'!$D$25:$L$29,3),IF(OR(N70="f",N70="g",N70="h",O70="f",O70="g",O70="h"),VLOOKUP("d",'Características dos Cabos'!$D$25:$L$29,3),IF(OR(N70="i",N70="j",N70="l",N70="m",O70="i",O70="j",O70="l",O70="m"),VLOOKUP("e",'Características dos Cabos'!$D$25:$L$29,3),"")))))</f>
        <v/>
      </c>
      <c r="Y70" s="314" t="str">
        <f>IF(OR(N70="a",O70="a"),VLOOKUP("a",'Características dos Cabos'!$D$14:$K$18,4),IF(OR(N70="b",N70="c",O70="b",O70="c"),VLOOKUP("b",'Características dos Cabos'!$D$14:$K$18,4),IF(OR(N70="d",N70="e",O70="d",O70="e"),VLOOKUP("c",'Características dos Cabos'!$D$14:$K$18,4),IF(OR(N70="f",N70="g",N70="h",O70="f",O70="g",O70="h"),VLOOKUP("d",'Características dos Cabos'!$D$14:$K$18,4),IF(OR(N70="i",N70="j",N70="l",N70="m",O70="i",O70="j",O70="l",O70="m"),VLOOKUP("e",'Características dos Cabos'!$D$14:$K$18,4),"")))))</f>
        <v/>
      </c>
      <c r="Z70" s="269" t="str">
        <f t="shared" si="19"/>
        <v/>
      </c>
      <c r="AA70" s="270" t="str">
        <f t="shared" si="20"/>
        <v/>
      </c>
      <c r="AB70" s="309"/>
      <c r="AC70" s="312">
        <f t="shared" si="21"/>
        <v>0</v>
      </c>
      <c r="AD70" s="312">
        <f t="shared" si="22"/>
        <v>0</v>
      </c>
      <c r="AE70" s="309"/>
    </row>
    <row r="71" spans="1:31" ht="13.5" customHeight="1">
      <c r="A71" s="2"/>
      <c r="B71" s="751"/>
      <c r="C71" s="70"/>
      <c r="D71" s="71"/>
      <c r="E71" s="72"/>
      <c r="F71" s="35" t="str">
        <f t="shared" si="3"/>
        <v/>
      </c>
      <c r="G71" s="55"/>
      <c r="H71" s="313" t="str">
        <f>IF(AND(E71="",G71=""),"",SUM(F71:G72))</f>
        <v/>
      </c>
      <c r="I71" s="266" t="str">
        <f>IF(OR(L71="",M71=""),"",IF(L71="3",VLOOKUP(N71,'K% (Rede Convencional)'!$B$18:$H$29,5),(IF(L71="2",VLOOKUP(O71,'K% (Rede Convencional)'!$B$18:$H$29,6),(IF(L71="1",VLOOKUP(O71,'K% (Rede Convencional)'!$B$18:$H$29,7)))))))</f>
        <v/>
      </c>
      <c r="J71" s="266" t="str">
        <f>IF(OR(L71="",M71=""),"",IF(L71="3",VLOOKUP(N71,'K% (Rede Convencional)'!$B$18:$E$29,2),(IF(L71="2",VLOOKUP(O71,'K% (Rede Convencional)'!$B$18:$E$29,3),(IF(L71="1",VLOOKUP(O71,'K% (Rede Convencional)'!$B$18:$E$29,4)))))))</f>
        <v/>
      </c>
      <c r="K71" s="266" t="str">
        <f t="shared" si="14"/>
        <v/>
      </c>
      <c r="L71" s="83"/>
      <c r="M71" s="83"/>
      <c r="N71" s="79">
        <f t="shared" si="10"/>
        <v>0</v>
      </c>
      <c r="O71" s="80" t="str">
        <f>IF(M71="","",IF(M71="4 (4)","a",IF(OR(M71="2 (4)",M71="2 (2)"),VLOOKUP(M71,mT!$AF$21:$AG$22,2,FALSE),IF(OR(M71="1/0 (4)",M71="1/0 (2)"),VLOOKUP(M71,mT!$AF$24:$AG$25,2,FALSE),IF(OR(M71="4/0 (4)",M71="4/0 (2)",M71="4/0 (1/0)"),VLOOKUP(M71,mT!$AF$27:$AG$29,2,FALSE),IF(OR(M71="336,4 (4)",M71="336,4 (2)",M71="336,4 (1/0)",M71="336,4 (4/0)"),VLOOKUP(M71,mT!$AF$31:$AG$34,2,FALSE),""))))))</f>
        <v/>
      </c>
      <c r="P71" s="55"/>
      <c r="Q71" s="268" t="str">
        <f t="shared" si="15"/>
        <v/>
      </c>
      <c r="R71" s="268" t="str">
        <f>IF(Q71="","",SUM($Q$20:Q71))</f>
        <v/>
      </c>
      <c r="S71" s="268" t="str">
        <f t="shared" si="16"/>
        <v/>
      </c>
      <c r="T71" s="269" t="str">
        <f>IF(OR(N71="a",O71="a"),VLOOKUP("a",'Características dos Cabos'!$D$25:$L$29,9),IF(OR(N71="b",N71="c",O71="b",O71="c"),VLOOKUP("b",'Características dos Cabos'!$D$25:$L$29,9),IF(OR(N71="d",N71="e",O71="d",O71="e"),VLOOKUP("c",'Características dos Cabos'!$D$25:$L$29,9),IF(OR(N71="f",N71="g",N71="h",O71="f",O71="g",O71="h"),VLOOKUP("d",'Características dos Cabos'!$D$25:$L$29,9),IF(OR(N71="i",N71="j",N71="l",N71="m",O71="i",O72="j",O72="l",O72="m"),VLOOKUP("e",'Características dos Cabos'!$D$25:$L$29,9),"")))))</f>
        <v/>
      </c>
      <c r="U71" s="269" t="str">
        <f>IF(OR(N71="a",O71="a"),VLOOKUP("a",'Características dos Cabos'!$D$14:$K$18,8),IF(OR(N71="b",N71="c",O71="b",O71="c"),VLOOKUP("b",'Características dos Cabos'!$D$14:$K$18,8),IF(OR(N71="d",N71="e",O71="d",O71="e"),VLOOKUP("c",'Características dos Cabos'!$D$14:$K$18,8),IF(OR(N71="f",N71="g",N71="h",O71="f",O71="g",O71="h"),VLOOKUP("d",'Características dos Cabos'!$D$14:$K$18,8),IF(OR(N71="i",N71="j",N71="l",N71="m",O71="i",O72="j",O72="l",O72="m"),VLOOKUP("e",'Características dos Cabos'!$D$14:$K$18,8),"")))))</f>
        <v/>
      </c>
      <c r="V71" s="269" t="str">
        <f t="shared" si="17"/>
        <v/>
      </c>
      <c r="W71" s="268" t="str">
        <f t="shared" si="18"/>
        <v/>
      </c>
      <c r="X71" s="314" t="str">
        <f>IF(OR(N71="a",O71="a"),VLOOKUP("a",'Características dos Cabos'!$D$25:$L$29,3),IF(OR(N71="b",N71="c",O71="b",O71="c"),VLOOKUP("b",'Características dos Cabos'!$D$25:$L$29,3),IF(OR(N71="d",N71="e",O71="d",O71="e"),VLOOKUP("c",'Características dos Cabos'!$D$25:$L$29,3),IF(OR(N71="f",N71="g",N71="h",O71="f",O71="g",O71="h"),VLOOKUP("d",'Características dos Cabos'!$D$25:$L$29,3),IF(OR(N71="i",N71="j",N71="l",N71="m",O71="i",O71="j",O71="l",O71="m"),VLOOKUP("e",'Características dos Cabos'!$D$25:$L$29,3),"")))))</f>
        <v/>
      </c>
      <c r="Y71" s="314" t="str">
        <f>IF(OR(N71="a",O71="a"),VLOOKUP("a",'Características dos Cabos'!$D$14:$K$18,4),IF(OR(N71="b",N71="c",O71="b",O71="c"),VLOOKUP("b",'Características dos Cabos'!$D$14:$K$18,4),IF(OR(N71="d",N71="e",O71="d",O71="e"),VLOOKUP("c",'Características dos Cabos'!$D$14:$K$18,4),IF(OR(N71="f",N71="g",N71="h",O71="f",O71="g",O71="h"),VLOOKUP("d",'Características dos Cabos'!$D$14:$K$18,4),IF(OR(N71="i",N71="j",N71="l",N71="m",O71="i",O71="j",O71="l",O71="m"),VLOOKUP("e",'Características dos Cabos'!$D$14:$K$18,4),"")))))</f>
        <v/>
      </c>
      <c r="Z71" s="269" t="str">
        <f t="shared" si="19"/>
        <v/>
      </c>
      <c r="AA71" s="270" t="str">
        <f t="shared" si="20"/>
        <v/>
      </c>
      <c r="AB71" s="309"/>
      <c r="AC71" s="312">
        <f t="shared" si="21"/>
        <v>0</v>
      </c>
      <c r="AD71" s="312">
        <f t="shared" si="22"/>
        <v>0</v>
      </c>
      <c r="AE71" s="309"/>
    </row>
    <row r="72" spans="1:31" ht="13.5" customHeight="1" thickBot="1">
      <c r="A72" s="2"/>
      <c r="B72" s="752"/>
      <c r="C72" s="73"/>
      <c r="D72" s="74"/>
      <c r="E72" s="75"/>
      <c r="F72" s="35" t="str">
        <f t="shared" si="3"/>
        <v/>
      </c>
      <c r="G72" s="56"/>
      <c r="H72" s="315" t="str">
        <f>IF(AND(E72="",G72=""),"",SUM(F72:G72))</f>
        <v/>
      </c>
      <c r="I72" s="287" t="str">
        <f>IF(OR(L72="",M72=""),"",IF(L72="3",VLOOKUP(N72,'K% (Rede Convencional)'!$B$18:$H$29,5),(IF(L72="2",VLOOKUP(O72,'K% (Rede Convencional)'!$B$18:$H$29,6),(IF(L72="1",VLOOKUP(O72,'K% (Rede Convencional)'!$B$18:$H$29,7)))))))</f>
        <v/>
      </c>
      <c r="J72" s="287" t="str">
        <f>IF(OR(L72="",M72=""),"",IF(L72="3",VLOOKUP(N72,'K% (Rede Convencional)'!$B$18:$E$29,2),(IF(L72="2",VLOOKUP(O72,'K% (Rede Convencional)'!$B$18:$E$29,3),(IF(L72="1",VLOOKUP(O72,'K% (Rede Convencional)'!$B$18:$E$29,4)))))))</f>
        <v/>
      </c>
      <c r="K72" s="287" t="str">
        <f t="shared" si="14"/>
        <v/>
      </c>
      <c r="L72" s="84"/>
      <c r="M72" s="84"/>
      <c r="N72" s="81">
        <f t="shared" si="10"/>
        <v>0</v>
      </c>
      <c r="O72" s="82" t="str">
        <f>IF(M72="","",IF(M72="4 (4)","a",IF(OR(M72="2 (4)",M72="2 (2)"),VLOOKUP(M72,mT!$AF$21:$AG$22,2,FALSE),IF(OR(M72="1/0 (4)",M72="1/0 (2)"),VLOOKUP(M72,mT!$AF$24:$AG$25,2,FALSE),IF(OR(M72="4/0 (4)",M72="4/0 (2)",M72="4/0 (1/0)"),VLOOKUP(M72,mT!$AF$27:$AG$29,2,FALSE),IF(OR(M72="336,4 (4)",M72="336,4 (2)",M72="336,4 (1/0)",M72="336,4 (4/0)"),VLOOKUP(M72,mT!$AF$31:$AG$34,2,FALSE),""))))))</f>
        <v/>
      </c>
      <c r="P72" s="56"/>
      <c r="Q72" s="289" t="str">
        <f t="shared" si="15"/>
        <v/>
      </c>
      <c r="R72" s="289" t="str">
        <f>IF(Q72="","",SUM($Q$20:Q72))</f>
        <v/>
      </c>
      <c r="S72" s="289" t="str">
        <f t="shared" si="16"/>
        <v/>
      </c>
      <c r="T72" s="290" t="str">
        <f>IF(OR(N72="a",O72="a"),VLOOKUP("a",'Características dos Cabos'!$D$25:$L$29,9),IF(OR(N72="b",N72="c",O72="b",O72="c"),VLOOKUP("b",'Características dos Cabos'!$D$25:$L$29,9),IF(OR(N72="d",N72="e",O72="d",O72="e"),VLOOKUP("c",'Características dos Cabos'!$D$25:$L$29,9),IF(OR(N72="f",N72="g",N72="h",O72="f",O72="g",O72="h"),VLOOKUP("d",'Características dos Cabos'!$D$25:$L$29,9),IF(OR(N72="i",N72="j",N72="l",N72="m",O72="i",O97="j",O97="l",O97="m"),VLOOKUP("e",'Características dos Cabos'!$D$25:$L$29,9),"")))))</f>
        <v/>
      </c>
      <c r="U72" s="290" t="str">
        <f>IF(OR(N72="a",O72="a"),VLOOKUP("a",'Características dos Cabos'!$D$14:$K$18,8),IF(OR(N72="b",N72="c",O72="b",O72="c"),VLOOKUP("b",'Características dos Cabos'!$D$14:$K$18,8),IF(OR(N72="d",N72="e",O72="d",O72="e"),VLOOKUP("c",'Características dos Cabos'!$D$14:$K$18,8),IF(OR(N72="f",N72="g",N72="h",O72="f",O72="g",O72="h"),VLOOKUP("d",'Características dos Cabos'!$D$14:$K$18,8),IF(OR(N72="i",N72="j",N72="l",N72="m",O72="i",O97="j",O97="l",O97="m"),VLOOKUP("e",'Características dos Cabos'!$D$14:$K$18,8),"")))))</f>
        <v/>
      </c>
      <c r="V72" s="290" t="str">
        <f t="shared" si="17"/>
        <v/>
      </c>
      <c r="W72" s="289" t="str">
        <f t="shared" si="18"/>
        <v/>
      </c>
      <c r="X72" s="316" t="str">
        <f>IF(OR(N72="a",O72="a"),VLOOKUP("a",'Características dos Cabos'!$D$25:$L$29,3),IF(OR(N72="b",N72="c",O72="b",O72="c"),VLOOKUP("b",'Características dos Cabos'!$D$25:$L$29,3),IF(OR(N72="d",N72="e",O72="d",O72="e"),VLOOKUP("c",'Características dos Cabos'!$D$25:$L$29,3),IF(OR(N72="f",N72="g",N72="h",O72="f",O72="g",O72="h"),VLOOKUP("d",'Características dos Cabos'!$D$25:$L$29,3),IF(OR(N72="i",N72="j",N72="l",N72="m",O72="i",O72="j",O72="l",O72="m"),VLOOKUP("e",'Características dos Cabos'!$D$25:$L$29,3),"")))))</f>
        <v/>
      </c>
      <c r="Y72" s="316" t="str">
        <f>IF(OR(N72="a",O72="a"),VLOOKUP("a",'Características dos Cabos'!$D$14:$K$18,4),IF(OR(N72="b",N72="c",O72="b",O72="c"),VLOOKUP("b",'Características dos Cabos'!$D$14:$K$18,4),IF(OR(N72="d",N72="e",O72="d",O72="e"),VLOOKUP("c",'Características dos Cabos'!$D$14:$K$18,4),IF(OR(N72="f",N72="g",N72="h",O72="f",O72="g",O72="h"),VLOOKUP("d",'Características dos Cabos'!$D$14:$K$18,4),IF(OR(N72="i",N72="j",N72="l",N72="m",O72="i",O72="j",O72="l",O72="m"),VLOOKUP("e",'Características dos Cabos'!$D$14:$K$18,4),"")))))</f>
        <v/>
      </c>
      <c r="Z72" s="290" t="str">
        <f t="shared" si="19"/>
        <v/>
      </c>
      <c r="AA72" s="291" t="str">
        <f t="shared" si="20"/>
        <v/>
      </c>
      <c r="AB72" s="309"/>
      <c r="AC72" s="312">
        <f t="shared" si="21"/>
        <v>0</v>
      </c>
      <c r="AD72" s="312">
        <f t="shared" si="22"/>
        <v>0</v>
      </c>
      <c r="AE72" s="309"/>
    </row>
    <row r="73" spans="1:31" ht="13.5" customHeight="1" thickTop="1">
      <c r="A73" s="2"/>
      <c r="B73" s="750" t="s">
        <v>236</v>
      </c>
      <c r="C73" s="59"/>
      <c r="D73" s="76"/>
      <c r="E73" s="68"/>
      <c r="F73" s="35" t="str">
        <f t="shared" si="3"/>
        <v/>
      </c>
      <c r="G73" s="69"/>
      <c r="H73" s="310" t="str">
        <f>IF(AND(E73="",G73=""),"",SUM(F73:G76))</f>
        <v/>
      </c>
      <c r="I73" s="279" t="str">
        <f>IF(OR(L73="",M73=""),"",IF(L73="3",VLOOKUP(N73,'K% (Rede Convencional)'!$B$18:$H$29,5),(IF(L73="2",VLOOKUP(O73,'K% (Rede Convencional)'!$B$18:$H$29,6),(IF(L73="1",VLOOKUP(O73,'K% (Rede Convencional)'!$B$18:$H$29,7)))))))</f>
        <v/>
      </c>
      <c r="J73" s="279" t="str">
        <f>IF(OR(L73="",M73=""),"",IF(L73="3",VLOOKUP(N73,'K% (Rede Convencional)'!$B$18:$E$29,2),(IF(L73="2",VLOOKUP(O73,'K% (Rede Convencional)'!$B$18:$E$29,3),(IF(L73="1",VLOOKUP(O73,'K% (Rede Convencional)'!$B$18:$E$29,4)))))))</f>
        <v/>
      </c>
      <c r="K73" s="279" t="str">
        <f t="shared" si="14"/>
        <v/>
      </c>
      <c r="L73" s="85"/>
      <c r="M73" s="85"/>
      <c r="N73" s="77">
        <f t="shared" si="10"/>
        <v>0</v>
      </c>
      <c r="O73" s="78" t="str">
        <f>IF(M73="","",IF(M73="4 (4)","a",IF(OR(M73="2 (4)",M73="2 (2)"),VLOOKUP(M73,mT!$AF$21:$AG$22,2,FALSE),IF(OR(M73="1/0 (4)",M73="1/0 (2)"),VLOOKUP(M73,mT!$AF$24:$AG$25,2,FALSE),IF(OR(M73="4/0 (4)",M73="4/0 (2)",M73="4/0 (1/0)"),VLOOKUP(M73,mT!$AF$27:$AG$29,2,FALSE),IF(OR(M73="336,4 (4)",M73="336,4 (2)",M73="336,4 (1/0)",M73="336,4 (4/0)"),VLOOKUP(M73,mT!$AF$31:$AG$34,2,FALSE),""))))))</f>
        <v/>
      </c>
      <c r="P73" s="69"/>
      <c r="Q73" s="280" t="str">
        <f t="shared" si="15"/>
        <v/>
      </c>
      <c r="R73" s="280" t="str">
        <f>IF(Q73="","",SUM($Q$20:Q73))</f>
        <v/>
      </c>
      <c r="S73" s="280" t="str">
        <f t="shared" si="16"/>
        <v/>
      </c>
      <c r="T73" s="281" t="str">
        <f>IF(OR(N73="a",O73="a"),VLOOKUP("a",'Características dos Cabos'!$D$25:$L$29,9),IF(OR(N73="b",N73="c",O73="b",O73="c"),VLOOKUP("b",'Características dos Cabos'!$D$25:$L$29,9),IF(OR(N73="d",N73="e",O73="d",O73="e"),VLOOKUP("c",'Características dos Cabos'!$D$25:$L$29,9),IF(OR(N73="f",N73="g",N73="h",O73="f",O73="g",O73="h"),VLOOKUP("d",'Características dos Cabos'!$D$25:$L$29,9),IF(OR(N73="i",N73="j",N73="l",N73="m",O73="i",O74="j",O74="l",O74="m"),VLOOKUP("e",'Características dos Cabos'!$D$25:$L$29,9),"")))))</f>
        <v/>
      </c>
      <c r="U73" s="281" t="str">
        <f>IF(OR(N73="a",O73="a"),VLOOKUP("a",'Características dos Cabos'!$D$14:$K$18,8),IF(OR(N73="b",N73="c",O73="b",O73="c"),VLOOKUP("b",'Características dos Cabos'!$D$14:$K$18,8),IF(OR(N73="d",N73="e",O73="d",O73="e"),VLOOKUP("c",'Características dos Cabos'!$D$14:$K$18,8),IF(OR(N73="f",N73="g",N73="h",O73="f",O73="g",O73="h"),VLOOKUP("d",'Características dos Cabos'!$D$14:$K$18,8),IF(OR(N73="i",N73="j",N73="l",N73="m",O73="i",O74="j",O74="l",O74="m"),VLOOKUP("e",'Características dos Cabos'!$D$14:$K$18,8),"")))))</f>
        <v/>
      </c>
      <c r="V73" s="281" t="str">
        <f t="shared" si="17"/>
        <v/>
      </c>
      <c r="W73" s="280" t="str">
        <f t="shared" si="18"/>
        <v/>
      </c>
      <c r="X73" s="311" t="str">
        <f>IF(OR(N73="a",O73="a"),VLOOKUP("a",'Características dos Cabos'!$D$25:$L$29,3),IF(OR(N73="b",N73="c",O73="b",O73="c"),VLOOKUP("b",'Características dos Cabos'!$D$25:$L$29,3),IF(OR(N73="d",N73="e",O73="d",O73="e"),VLOOKUP("c",'Características dos Cabos'!$D$25:$L$29,3),IF(OR(N73="f",N73="g",N73="h",O73="f",O73="g",O73="h"),VLOOKUP("d",'Características dos Cabos'!$D$25:$L$29,3),IF(OR(N73="i",N73="j",N73="l",N73="m",O73="i",O73="j",O73="l",O73="m"),VLOOKUP("e",'Características dos Cabos'!$D$25:$L$29,3),"")))))</f>
        <v/>
      </c>
      <c r="Y73" s="311" t="str">
        <f>IF(OR(N73="a",O73="a"),VLOOKUP("a",'Características dos Cabos'!$D$14:$K$18,4),IF(OR(N73="b",N73="c",O73="b",O73="c"),VLOOKUP("b",'Características dos Cabos'!$D$14:$K$18,4),IF(OR(N73="d",N73="e",O73="d",O73="e"),VLOOKUP("c",'Características dos Cabos'!$D$14:$K$18,4),IF(OR(N73="f",N73="g",N73="h",O73="f",O73="g",O73="h"),VLOOKUP("d",'Características dos Cabos'!$D$14:$K$18,4),IF(OR(N73="i",N73="j",N73="l",N73="m",O73="i",O73="j",O73="l",O73="m"),VLOOKUP("e",'Características dos Cabos'!$D$14:$K$18,4),"")))))</f>
        <v/>
      </c>
      <c r="Z73" s="281" t="str">
        <f t="shared" si="19"/>
        <v/>
      </c>
      <c r="AA73" s="282" t="str">
        <f t="shared" si="20"/>
        <v/>
      </c>
      <c r="AB73" s="455" t="e">
        <f>VLOOKUP(C73,$D$21:$R$35,12,FALSE)</f>
        <v>#N/A</v>
      </c>
      <c r="AC73" s="312">
        <f t="shared" si="21"/>
        <v>0</v>
      </c>
      <c r="AD73" s="312">
        <f t="shared" si="22"/>
        <v>0</v>
      </c>
      <c r="AE73" s="309"/>
    </row>
    <row r="74" spans="1:31" ht="14.25" customHeight="1">
      <c r="A74" s="2"/>
      <c r="B74" s="751"/>
      <c r="C74" s="70"/>
      <c r="D74" s="71"/>
      <c r="E74" s="72"/>
      <c r="F74" s="35" t="str">
        <f t="shared" si="3"/>
        <v/>
      </c>
      <c r="G74" s="55"/>
      <c r="H74" s="313" t="str">
        <f>IF(AND(E74="",G74=""),"",SUM(F74:G76))</f>
        <v/>
      </c>
      <c r="I74" s="266" t="str">
        <f>IF(OR(L74="",M74=""),"",IF(L74="3",VLOOKUP(N74,'K% (Rede Convencional)'!$B$18:$H$29,5),(IF(L74="2",VLOOKUP(O74,'K% (Rede Convencional)'!$B$18:$H$29,6),(IF(L74="1",VLOOKUP(O74,'K% (Rede Convencional)'!$B$18:$H$29,7)))))))</f>
        <v/>
      </c>
      <c r="J74" s="266" t="str">
        <f>IF(OR(L74="",M74=""),"",IF(L74="3",VLOOKUP(N74,'K% (Rede Convencional)'!$B$18:$E$29,2),(IF(L74="2",VLOOKUP(O74,'K% (Rede Convencional)'!$B$18:$E$29,3),(IF(L74="1",VLOOKUP(O74,'K% (Rede Convencional)'!$B$18:$E$29,4)))))))</f>
        <v/>
      </c>
      <c r="K74" s="266" t="str">
        <f t="shared" si="14"/>
        <v/>
      </c>
      <c r="L74" s="83"/>
      <c r="M74" s="83"/>
      <c r="N74" s="79">
        <f t="shared" si="10"/>
        <v>0</v>
      </c>
      <c r="O74" s="80" t="str">
        <f>IF(M74="","",IF(M74="4 (4)","a",IF(OR(M74="2 (4)",M74="2 (2)"),VLOOKUP(M74,mT!$AF$21:$AG$22,2,FALSE),IF(OR(M74="1/0 (4)",M74="1/0 (2)"),VLOOKUP(M74,mT!$AF$24:$AG$25,2,FALSE),IF(OR(M74="4/0 (4)",M74="4/0 (2)",M74="4/0 (1/0)"),VLOOKUP(M74,mT!$AF$27:$AG$29,2,FALSE),IF(OR(M74="336,4 (4)",M74="336,4 (2)",M74="336,4 (1/0)",M74="336,4 (4/0)"),VLOOKUP(M74,mT!$AF$31:$AG$34,2,FALSE),""))))))</f>
        <v/>
      </c>
      <c r="P74" s="55"/>
      <c r="Q74" s="268" t="str">
        <f t="shared" si="15"/>
        <v/>
      </c>
      <c r="R74" s="268" t="str">
        <f>IF(Q74="","",SUM($Q$20:Q74))</f>
        <v/>
      </c>
      <c r="S74" s="268" t="str">
        <f t="shared" si="16"/>
        <v/>
      </c>
      <c r="T74" s="269" t="str">
        <f>IF(OR(N74="a",O74="a"),VLOOKUP("a",'Características dos Cabos'!$D$25:$L$29,9),IF(OR(N74="b",N74="c",O74="b",O74="c"),VLOOKUP("b",'Características dos Cabos'!$D$25:$L$29,9),IF(OR(N74="d",N74="e",O74="d",O74="e"),VLOOKUP("c",'Características dos Cabos'!$D$25:$L$29,9),IF(OR(N74="f",N74="g",N74="h",O74="f",O74="g",O74="h"),VLOOKUP("d",'Características dos Cabos'!$D$25:$L$29,9),IF(OR(N74="i",N74="j",N74="l",N74="m",O74="i",O75="j",O75="l",O75="m"),VLOOKUP("e",'Características dos Cabos'!$D$25:$L$29,9),"")))))</f>
        <v/>
      </c>
      <c r="U74" s="269" t="str">
        <f>IF(OR(N74="a",O74="a"),VLOOKUP("a",'Características dos Cabos'!$D$14:$K$18,8),IF(OR(N74="b",N74="c",O74="b",O74="c"),VLOOKUP("b",'Características dos Cabos'!$D$14:$K$18,8),IF(OR(N74="d",N74="e",O74="d",O74="e"),VLOOKUP("c",'Características dos Cabos'!$D$14:$K$18,8),IF(OR(N74="f",N74="g",N74="h",O74="f",O74="g",O74="h"),VLOOKUP("d",'Características dos Cabos'!$D$14:$K$18,8),IF(OR(N74="i",N74="j",N74="l",N74="m",O74="i",O75="j",O75="l",O75="m"),VLOOKUP("e",'Características dos Cabos'!$D$14:$K$18,8),"")))))</f>
        <v/>
      </c>
      <c r="V74" s="269" t="str">
        <f t="shared" si="17"/>
        <v/>
      </c>
      <c r="W74" s="268" t="str">
        <f t="shared" si="18"/>
        <v/>
      </c>
      <c r="X74" s="314" t="str">
        <f>IF(OR(N74="a",O74="a"),VLOOKUP("a",'Características dos Cabos'!$D$25:$L$29,3),IF(OR(N74="b",N74="c",O74="b",O74="c"),VLOOKUP("b",'Características dos Cabos'!$D$25:$L$29,3),IF(OR(N74="d",N74="e",O74="d",O74="e"),VLOOKUP("c",'Características dos Cabos'!$D$25:$L$29,3),IF(OR(N74="f",N74="g",N74="h",O74="f",O74="g",O74="h"),VLOOKUP("d",'Características dos Cabos'!$D$25:$L$29,3),IF(OR(N74="i",N74="j",N74="l",N74="m",O74="i",O74="j",O74="l",O74="m"),VLOOKUP("e",'Características dos Cabos'!$D$25:$L$29,3),"")))))</f>
        <v/>
      </c>
      <c r="Y74" s="314" t="str">
        <f>IF(OR(N74="a",O74="a"),VLOOKUP("a",'Características dos Cabos'!$D$14:$K$18,4),IF(OR(N74="b",N74="c",O74="b",O74="c"),VLOOKUP("b",'Características dos Cabos'!$D$14:$K$18,4),IF(OR(N74="d",N74="e",O74="d",O74="e"),VLOOKUP("c",'Características dos Cabos'!$D$14:$K$18,4),IF(OR(N74="f",N74="g",N74="h",O74="f",O74="g",O74="h"),VLOOKUP("d",'Características dos Cabos'!$D$14:$K$18,4),IF(OR(N74="i",N74="j",N74="l",N74="m",O74="i",O74="j",O74="l",O74="m"),VLOOKUP("e",'Características dos Cabos'!$D$14:$K$18,4),"")))))</f>
        <v/>
      </c>
      <c r="Z74" s="269" t="str">
        <f t="shared" si="19"/>
        <v/>
      </c>
      <c r="AA74" s="270" t="str">
        <f t="shared" si="20"/>
        <v/>
      </c>
      <c r="AB74" s="309"/>
      <c r="AC74" s="312">
        <f t="shared" si="21"/>
        <v>0</v>
      </c>
      <c r="AD74" s="312">
        <f t="shared" si="22"/>
        <v>0</v>
      </c>
      <c r="AE74" s="309"/>
    </row>
    <row r="75" spans="1:31" ht="13.5" customHeight="1">
      <c r="A75" s="2"/>
      <c r="B75" s="751"/>
      <c r="C75" s="70"/>
      <c r="D75" s="71"/>
      <c r="E75" s="72"/>
      <c r="F75" s="35" t="str">
        <f t="shared" si="3"/>
        <v/>
      </c>
      <c r="G75" s="55"/>
      <c r="H75" s="313" t="str">
        <f>IF(AND(E75="",G75=""),"",SUM(F75:G76))</f>
        <v/>
      </c>
      <c r="I75" s="266" t="str">
        <f>IF(OR(L75="",M75=""),"",IF(L75="3",VLOOKUP(N75,'K% (Rede Convencional)'!$B$18:$H$29,5),(IF(L75="2",VLOOKUP(O75,'K% (Rede Convencional)'!$B$18:$H$29,6),(IF(L75="1",VLOOKUP(O75,'K% (Rede Convencional)'!$B$18:$H$29,7)))))))</f>
        <v/>
      </c>
      <c r="J75" s="266" t="str">
        <f>IF(OR(L75="",M75=""),"",IF(L75="3",VLOOKUP(N75,'K% (Rede Convencional)'!$B$18:$E$29,2),(IF(L75="2",VLOOKUP(O75,'K% (Rede Convencional)'!$B$18:$E$29,3),(IF(L75="1",VLOOKUP(O75,'K% (Rede Convencional)'!$B$18:$E$29,4)))))))</f>
        <v/>
      </c>
      <c r="K75" s="266" t="str">
        <f t="shared" si="14"/>
        <v/>
      </c>
      <c r="L75" s="83"/>
      <c r="M75" s="83"/>
      <c r="N75" s="79">
        <f t="shared" si="10"/>
        <v>0</v>
      </c>
      <c r="O75" s="80" t="str">
        <f>IF(M75="","",IF(M75="4 (4)","a",IF(OR(M75="2 (4)",M75="2 (2)"),VLOOKUP(M75,mT!$AF$21:$AG$22,2,FALSE),IF(OR(M75="1/0 (4)",M75="1/0 (2)"),VLOOKUP(M75,mT!$AF$24:$AG$25,2,FALSE),IF(OR(M75="4/0 (4)",M75="4/0 (2)",M75="4/0 (1/0)"),VLOOKUP(M75,mT!$AF$27:$AG$29,2,FALSE),IF(OR(M75="336,4 (4)",M75="336,4 (2)",M75="336,4 (1/0)",M75="336,4 (4/0)"),VLOOKUP(M75,mT!$AF$31:$AG$34,2,FALSE),""))))))</f>
        <v/>
      </c>
      <c r="P75" s="55"/>
      <c r="Q75" s="268" t="str">
        <f t="shared" si="15"/>
        <v/>
      </c>
      <c r="R75" s="268" t="str">
        <f>IF(Q75="","",SUM($Q$20:Q75))</f>
        <v/>
      </c>
      <c r="S75" s="268" t="str">
        <f t="shared" si="16"/>
        <v/>
      </c>
      <c r="T75" s="269" t="str">
        <f>IF(OR(N75="a",O75="a"),VLOOKUP("a",'Características dos Cabos'!$D$25:$L$29,9),IF(OR(N75="b",N75="c",O75="b",O75="c"),VLOOKUP("b",'Características dos Cabos'!$D$25:$L$29,9),IF(OR(N75="d",N75="e",O75="d",O75="e"),VLOOKUP("c",'Características dos Cabos'!$D$25:$L$29,9),IF(OR(N75="f",N75="g",N75="h",O75="f",O75="g",O75="h"),VLOOKUP("d",'Características dos Cabos'!$D$25:$L$29,9),IF(OR(N75="i",N75="j",N75="l",N75="m",O75="i",O76="j",O76="l",O76="m"),VLOOKUP("e",'Características dos Cabos'!$D$25:$L$29,9),"")))))</f>
        <v/>
      </c>
      <c r="U75" s="269" t="str">
        <f>IF(OR(N75="a",O75="a"),VLOOKUP("a",'Características dos Cabos'!$D$14:$K$18,8),IF(OR(N75="b",N75="c",O75="b",O75="c"),VLOOKUP("b",'Características dos Cabos'!$D$14:$K$18,8),IF(OR(N75="d",N75="e",O75="d",O75="e"),VLOOKUP("c",'Características dos Cabos'!$D$14:$K$18,8),IF(OR(N75="f",N75="g",N75="h",O75="f",O75="g",O75="h"),VLOOKUP("d",'Características dos Cabos'!$D$14:$K$18,8),IF(OR(N75="i",N75="j",N75="l",N75="m",O75="i",O76="j",O76="l",O76="m"),VLOOKUP("e",'Características dos Cabos'!$D$14:$K$18,8),"")))))</f>
        <v/>
      </c>
      <c r="V75" s="269" t="str">
        <f t="shared" si="17"/>
        <v/>
      </c>
      <c r="W75" s="268" t="str">
        <f t="shared" si="18"/>
        <v/>
      </c>
      <c r="X75" s="314" t="str">
        <f>IF(OR(N75="a",O75="a"),VLOOKUP("a",'Características dos Cabos'!$D$25:$L$29,3),IF(OR(N75="b",N75="c",O75="b",O75="c"),VLOOKUP("b",'Características dos Cabos'!$D$25:$L$29,3),IF(OR(N75="d",N75="e",O75="d",O75="e"),VLOOKUP("c",'Características dos Cabos'!$D$25:$L$29,3),IF(OR(N75="f",N75="g",N75="h",O75="f",O75="g",O75="h"),VLOOKUP("d",'Características dos Cabos'!$D$25:$L$29,3),IF(OR(N75="i",N75="j",N75="l",N75="m",O75="i",O75="j",O75="l",O75="m"),VLOOKUP("e",'Características dos Cabos'!$D$25:$L$29,3),"")))))</f>
        <v/>
      </c>
      <c r="Y75" s="314" t="str">
        <f>IF(OR(N75="a",O75="a"),VLOOKUP("a",'Características dos Cabos'!$D$14:$K$18,4),IF(OR(N75="b",N75="c",O75="b",O75="c"),VLOOKUP("b",'Características dos Cabos'!$D$14:$K$18,4),IF(OR(N75="d",N75="e",O75="d",O75="e"),VLOOKUP("c",'Características dos Cabos'!$D$14:$K$18,4),IF(OR(N75="f",N75="g",N75="h",O75="f",O75="g",O75="h"),VLOOKUP("d",'Características dos Cabos'!$D$14:$K$18,4),IF(OR(N75="i",N75="j",N75="l",N75="m",O75="i",O75="j",O75="l",O75="m"),VLOOKUP("e",'Características dos Cabos'!$D$14:$K$18,4),"")))))</f>
        <v/>
      </c>
      <c r="Z75" s="269" t="str">
        <f t="shared" si="19"/>
        <v/>
      </c>
      <c r="AA75" s="270" t="str">
        <f t="shared" si="20"/>
        <v/>
      </c>
      <c r="AB75" s="309"/>
      <c r="AC75" s="312">
        <f t="shared" si="21"/>
        <v>0</v>
      </c>
      <c r="AD75" s="312">
        <f t="shared" si="22"/>
        <v>0</v>
      </c>
      <c r="AE75" s="309"/>
    </row>
    <row r="76" spans="1:31" ht="13.5" customHeight="1" thickBot="1">
      <c r="A76" s="2"/>
      <c r="B76" s="752"/>
      <c r="C76" s="73"/>
      <c r="D76" s="74"/>
      <c r="E76" s="75"/>
      <c r="F76" s="35" t="str">
        <f t="shared" si="3"/>
        <v/>
      </c>
      <c r="G76" s="56"/>
      <c r="H76" s="315" t="str">
        <f>IF(AND(E76="",G76=""),"",SUM(F76:G76))</f>
        <v/>
      </c>
      <c r="I76" s="287" t="str">
        <f>IF(OR(L76="",M76=""),"",IF(L76="3",VLOOKUP(N76,'K% (Rede Convencional)'!$B$18:$H$29,5),(IF(L76="2",VLOOKUP(O76,'K% (Rede Convencional)'!$B$18:$H$29,6),(IF(L76="1",VLOOKUP(O76,'K% (Rede Convencional)'!$B$18:$H$29,7)))))))</f>
        <v/>
      </c>
      <c r="J76" s="287" t="str">
        <f>IF(OR(L76="",M76=""),"",IF(L76="3",VLOOKUP(N76,'K% (Rede Convencional)'!$B$18:$E$29,2),(IF(L76="2",VLOOKUP(O76,'K% (Rede Convencional)'!$B$18:$E$29,3),(IF(L76="1",VLOOKUP(O76,'K% (Rede Convencional)'!$B$18:$E$29,4)))))))</f>
        <v/>
      </c>
      <c r="K76" s="287" t="str">
        <f t="shared" si="14"/>
        <v/>
      </c>
      <c r="L76" s="84"/>
      <c r="M76" s="84"/>
      <c r="N76" s="81">
        <f t="shared" si="10"/>
        <v>0</v>
      </c>
      <c r="O76" s="82" t="str">
        <f>IF(M76="","",IF(M76="4 (4)","a",IF(OR(M76="2 (4)",M76="2 (2)"),VLOOKUP(M76,mT!$AF$21:$AG$22,2,FALSE),IF(OR(M76="1/0 (4)",M76="1/0 (2)"),VLOOKUP(M76,mT!$AF$24:$AG$25,2,FALSE),IF(OR(M76="4/0 (4)",M76="4/0 (2)",M76="4/0 (1/0)"),VLOOKUP(M76,mT!$AF$27:$AG$29,2,FALSE),IF(OR(M76="336,4 (4)",M76="336,4 (2)",M76="336,4 (1/0)",M76="336,4 (4/0)"),VLOOKUP(M76,mT!$AF$31:$AG$34,2,FALSE),""))))))</f>
        <v/>
      </c>
      <c r="P76" s="56"/>
      <c r="Q76" s="289" t="str">
        <f t="shared" si="15"/>
        <v/>
      </c>
      <c r="R76" s="289" t="str">
        <f>IF(Q76="","",SUM($Q$20:Q76))</f>
        <v/>
      </c>
      <c r="S76" s="289" t="str">
        <f t="shared" si="16"/>
        <v/>
      </c>
      <c r="T76" s="290" t="str">
        <f>IF(OR(N76="a",O76="a"),VLOOKUP("a",'Características dos Cabos'!$D$25:$L$29,9),IF(OR(N76="b",N76="c",O76="b",O76="c"),VLOOKUP("b",'Características dos Cabos'!$D$25:$L$29,9),IF(OR(N76="d",N76="e",O76="d",O76="e"),VLOOKUP("c",'Características dos Cabos'!$D$25:$L$29,9),IF(OR(N76="f",N76="g",N76="h",O76="f",O76="g",O76="h"),VLOOKUP("d",'Características dos Cabos'!$D$25:$L$29,9),IF(OR(N76="i",N76="j",N76="l",N76="m",O76="i",O101="j",O101="l",O101="m"),VLOOKUP("e",'Características dos Cabos'!$D$25:$L$29,9),"")))))</f>
        <v/>
      </c>
      <c r="U76" s="290" t="str">
        <f>IF(OR(N76="a",O76="a"),VLOOKUP("a",'Características dos Cabos'!$D$14:$K$18,8),IF(OR(N76="b",N76="c",O76="b",O76="c"),VLOOKUP("b",'Características dos Cabos'!$D$14:$K$18,8),IF(OR(N76="d",N76="e",O76="d",O76="e"),VLOOKUP("c",'Características dos Cabos'!$D$14:$K$18,8),IF(OR(N76="f",N76="g",N76="h",O76="f",O76="g",O76="h"),VLOOKUP("d",'Características dos Cabos'!$D$14:$K$18,8),IF(OR(N76="i",N76="j",N76="l",N76="m",O76="i",O101="j",O101="l",O101="m"),VLOOKUP("e",'Características dos Cabos'!$D$14:$K$18,8),"")))))</f>
        <v/>
      </c>
      <c r="V76" s="290" t="str">
        <f t="shared" si="17"/>
        <v/>
      </c>
      <c r="W76" s="289" t="str">
        <f t="shared" si="18"/>
        <v/>
      </c>
      <c r="X76" s="316" t="str">
        <f>IF(OR(N76="a",O76="a"),VLOOKUP("a",'Características dos Cabos'!$D$25:$L$29,3),IF(OR(N76="b",N76="c",O76="b",O76="c"),VLOOKUP("b",'Características dos Cabos'!$D$25:$L$29,3),IF(OR(N76="d",N76="e",O76="d",O76="e"),VLOOKUP("c",'Características dos Cabos'!$D$25:$L$29,3),IF(OR(N76="f",N76="g",N76="h",O76="f",O76="g",O76="h"),VLOOKUP("d",'Características dos Cabos'!$D$25:$L$29,3),IF(OR(N76="i",N76="j",N76="l",N76="m",O76="i",O76="j",O76="l",O76="m"),VLOOKUP("e",'Características dos Cabos'!$D$25:$L$29,3),"")))))</f>
        <v/>
      </c>
      <c r="Y76" s="316" t="str">
        <f>IF(OR(N76="a",O76="a"),VLOOKUP("a",'Características dos Cabos'!$D$14:$K$18,4),IF(OR(N76="b",N76="c",O76="b",O76="c"),VLOOKUP("b",'Características dos Cabos'!$D$14:$K$18,4),IF(OR(N76="d",N76="e",O76="d",O76="e"),VLOOKUP("c",'Características dos Cabos'!$D$14:$K$18,4),IF(OR(N76="f",N76="g",N76="h",O76="f",O76="g",O76="h"),VLOOKUP("d",'Características dos Cabos'!$D$14:$K$18,4),IF(OR(N76="i",N76="j",N76="l",N76="m",O76="i",O76="j",O76="l",O76="m"),VLOOKUP("e",'Características dos Cabos'!$D$14:$K$18,4),"")))))</f>
        <v/>
      </c>
      <c r="Z76" s="290" t="str">
        <f t="shared" si="19"/>
        <v/>
      </c>
      <c r="AA76" s="291" t="str">
        <f t="shared" si="20"/>
        <v/>
      </c>
      <c r="AB76" s="309"/>
      <c r="AC76" s="312">
        <f t="shared" si="21"/>
        <v>0</v>
      </c>
      <c r="AD76" s="312">
        <f t="shared" si="22"/>
        <v>0</v>
      </c>
      <c r="AE76" s="309"/>
    </row>
    <row r="77" ht="13.5" customHeight="1" thickTop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7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7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</sheetData>
  <sheetProtection sheet="1" objects="1" scenarios="1" selectLockedCells="1"/>
  <customSheetViews>
    <customSheetView guid="{adcfddaa-af71-42ce-8fd7-7abb67cb940b}" hiddenColumns="1" printArea="1" scale="60" showGridLines="0" showPageBreaks="1" topLeftCell="A1" view="pageBreakPreview">
      <selection pane="topLeft" activeCell="AB1" sqref="AB1:AK1048576"/>
      <rowBreaks count="1" manualBreakCount="1">
        <brk id="52" max="26" man="1"/>
      </rowBreaks>
      <pageMargins left="0" right="0" top="0" bottom="0" header="0" footer="0"/>
      <printOptions horizontalCentered="1"/>
      <pageSetup horizontalDpi="144" verticalDpi="144" orientation="landscape" paperSize="9" scale="80" r:id="rId5"/>
      <headerFooter alignWithMargins="0"/>
    </customSheetView>
  </customSheetViews>
  <mergeCells count="55">
    <mergeCell ref="P11:Q11"/>
    <mergeCell ref="R11:S11"/>
    <mergeCell ref="C11:D11"/>
    <mergeCell ref="E11:G11"/>
    <mergeCell ref="L13:M13"/>
    <mergeCell ref="E13:G13"/>
    <mergeCell ref="C13:D13"/>
    <mergeCell ref="L11:M11"/>
    <mergeCell ref="H11:K11"/>
    <mergeCell ref="AA18:AA19"/>
    <mergeCell ref="H13:K13"/>
    <mergeCell ref="Z18:Z19"/>
    <mergeCell ref="R18:R19"/>
    <mergeCell ref="J18:J19"/>
    <mergeCell ref="K18:K19"/>
    <mergeCell ref="S18:S19"/>
    <mergeCell ref="Y18:Y19"/>
    <mergeCell ref="C15:D15"/>
    <mergeCell ref="X18:X19"/>
    <mergeCell ref="U18:U19"/>
    <mergeCell ref="W18:W19"/>
    <mergeCell ref="P18:P19"/>
    <mergeCell ref="T18:T19"/>
    <mergeCell ref="V18:V19"/>
    <mergeCell ref="Q18:Q19"/>
    <mergeCell ref="L15:M15"/>
    <mergeCell ref="M18:M19"/>
    <mergeCell ref="A3:AA3"/>
    <mergeCell ref="A2:AA2"/>
    <mergeCell ref="A6:AA6"/>
    <mergeCell ref="B49:B52"/>
    <mergeCell ref="E15:G15"/>
    <mergeCell ref="L18:L19"/>
    <mergeCell ref="I18:I19"/>
    <mergeCell ref="B37:B40"/>
    <mergeCell ref="B41:B44"/>
    <mergeCell ref="B45:B48"/>
    <mergeCell ref="B20:B35"/>
    <mergeCell ref="H18:H19"/>
    <mergeCell ref="C18:D18"/>
    <mergeCell ref="H15:K15"/>
    <mergeCell ref="E18:E19"/>
    <mergeCell ref="G18:G19"/>
    <mergeCell ref="D9:G9"/>
    <mergeCell ref="J9:L9"/>
    <mergeCell ref="Q8:W8"/>
    <mergeCell ref="D8:G8"/>
    <mergeCell ref="I8:N8"/>
    <mergeCell ref="Q9:AA9"/>
    <mergeCell ref="B69:B72"/>
    <mergeCell ref="B73:B76"/>
    <mergeCell ref="B53:B56"/>
    <mergeCell ref="B57:B60"/>
    <mergeCell ref="B61:B64"/>
    <mergeCell ref="B65:B68"/>
  </mergeCells>
  <dataValidations count="2">
    <dataValidation type="list" allowBlank="1" showInputMessage="1" showErrorMessage="1" sqref="D14">
      <formula1>Capa!$V$5:$V$6</formula1>
    </dataValidation>
    <dataValidation type="list" allowBlank="1" showInputMessage="1" showErrorMessage="1" sqref="D16">
      <formula1>Capa!$X$5:$X$6</formula1>
    </dataValidation>
  </dataValidations>
  <printOptions horizontalCentered="1"/>
  <pageMargins left="0.393700787401575" right="0.393700787401575" top="0.393700787401575" bottom="0" header="0.511811023622047" footer="0.511811023622047"/>
  <pageSetup horizontalDpi="144" verticalDpi="144" orientation="landscape" paperSize="9" scale="80" r:id="rId4"/>
  <headerFooter alignWithMargins="0"/>
  <rowBreaks count="1" manualBreakCount="1">
    <brk id="52" max="26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51"/>
  <dimension ref="A1:AA28"/>
  <sheetViews>
    <sheetView showGridLines="0" view="pageBreakPreview" zoomScale="87" zoomScaleNormal="75" zoomScaleSheetLayoutView="87" workbookViewId="0" topLeftCell="A7">
      <selection pane="topLeft" activeCell="L24" sqref="L24"/>
    </sheetView>
  </sheetViews>
  <sheetFormatPr defaultRowHeight="12.75"/>
  <cols>
    <col min="1" max="1" width="14.7142857142857" customWidth="1"/>
    <col min="2" max="2" width="18.7142857142857" customWidth="1"/>
    <col min="3" max="3" width="10.7142857142857" customWidth="1"/>
    <col min="4" max="4" width="12.4285714285714" customWidth="1"/>
    <col min="5" max="5" width="11.7142857142857" customWidth="1"/>
    <col min="6" max="6" width="11.5714285714286" customWidth="1"/>
    <col min="7" max="7" width="11" customWidth="1"/>
    <col min="8" max="9" width="10.4285714285714" customWidth="1"/>
    <col min="10" max="10" width="10.7142857142857" customWidth="1"/>
    <col min="11" max="11" width="11.7142857142857" customWidth="1"/>
    <col min="12" max="12" width="13.2857142857143" customWidth="1"/>
  </cols>
  <sheetData>
    <row r="1" spans="1:18" ht="11.25" customHeight="1">
      <c r="A1" s="331"/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3"/>
      <c r="M1" s="15"/>
      <c r="N1" s="15"/>
      <c r="O1" s="15"/>
      <c r="P1" s="15"/>
      <c r="Q1" s="15"/>
      <c r="R1" s="15"/>
    </row>
    <row r="2" spans="1:27" ht="12.75">
      <c r="A2" s="710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2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713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714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1:12" ht="12.75">
      <c r="A4" s="334"/>
      <c r="L4" s="335"/>
    </row>
    <row r="5" spans="1:12" ht="12.75">
      <c r="A5" s="334"/>
      <c r="L5" s="335"/>
    </row>
    <row r="6" spans="1:14" ht="12.75">
      <c r="A6" s="334"/>
      <c r="L6" s="335"/>
      <c r="N6">
        <f>ACOS('BT-MX (LOTEAMENTO)'!G13)/PI()*180</f>
        <v>90</v>
      </c>
    </row>
    <row r="7" spans="1:14" ht="12.75">
      <c r="A7" s="336"/>
      <c r="B7" s="171"/>
      <c r="C7" s="171"/>
      <c r="D7" s="171"/>
      <c r="E7" s="171"/>
      <c r="F7" s="171"/>
      <c r="G7" s="171"/>
      <c r="H7" s="171"/>
      <c r="I7" s="171"/>
      <c r="J7" s="171"/>
      <c r="L7" s="337"/>
      <c r="N7" s="171">
        <f>COS(N6*PI()/180)</f>
        <v>6.123233995736766E-17</v>
      </c>
    </row>
    <row r="8" spans="1:12" ht="18">
      <c r="A8" s="715" t="s">
        <v>128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716"/>
    </row>
    <row r="9" spans="1:12" ht="13.5" thickBot="1">
      <c r="A9" s="95"/>
      <c r="B9" s="2"/>
      <c r="C9" s="2"/>
      <c r="D9" s="2"/>
      <c r="E9" s="2"/>
      <c r="F9" s="2"/>
      <c r="G9" s="2"/>
      <c r="H9" s="2"/>
      <c r="I9" s="2"/>
      <c r="J9" s="2"/>
      <c r="K9" s="2"/>
      <c r="L9" s="102"/>
    </row>
    <row r="10" spans="1:12" ht="33" customHeight="1">
      <c r="A10" s="707" t="s">
        <v>129</v>
      </c>
      <c r="B10" s="717" t="s">
        <v>130</v>
      </c>
      <c r="C10" s="138"/>
      <c r="D10" s="719" t="s">
        <v>131</v>
      </c>
      <c r="E10" s="719"/>
      <c r="F10" s="719" t="s">
        <v>132</v>
      </c>
      <c r="G10" s="721" t="s">
        <v>133</v>
      </c>
      <c r="H10" s="721"/>
      <c r="I10" s="722" t="s">
        <v>134</v>
      </c>
      <c r="J10" s="722"/>
      <c r="K10" s="722"/>
      <c r="L10" s="723"/>
    </row>
    <row r="11" spans="1:12" ht="15" customHeight="1" thickBot="1">
      <c r="A11" s="709"/>
      <c r="B11" s="718"/>
      <c r="C11" s="139"/>
      <c r="D11" s="414" t="s">
        <v>135</v>
      </c>
      <c r="E11" s="414" t="s">
        <v>121</v>
      </c>
      <c r="F11" s="720"/>
      <c r="G11" s="139" t="s">
        <v>135</v>
      </c>
      <c r="H11" s="139" t="s">
        <v>121</v>
      </c>
      <c r="I11" s="139">
        <v>1</v>
      </c>
      <c r="J11" s="139">
        <v>2</v>
      </c>
      <c r="K11" s="139">
        <v>3</v>
      </c>
      <c r="L11" s="140">
        <v>13</v>
      </c>
    </row>
    <row r="12" spans="1:12" ht="15" customHeight="1" thickBot="1">
      <c r="A12" s="707" t="s">
        <v>136</v>
      </c>
      <c r="B12" s="141" t="s">
        <v>137</v>
      </c>
      <c r="C12" s="142" t="s">
        <v>59</v>
      </c>
      <c r="D12" s="415">
        <v>3.8719999999999999</v>
      </c>
      <c r="E12" s="415">
        <f>D12</f>
        <v>3.8719999999999999</v>
      </c>
      <c r="F12" s="415">
        <v>0.1033</v>
      </c>
      <c r="G12" s="143">
        <v>55</v>
      </c>
      <c r="H12" s="143">
        <v>71</v>
      </c>
      <c r="I12" s="144" t="e">
        <f>300*((D12+D12)*COS(PI()*$N$6/180)+(F12+F12)*SIN(PI()*$N$6/180))/('BT-MX (CONDOMINIO HORIZONTAL)'!$D$13^2)</f>
        <v>#DIV/0!</v>
      </c>
      <c r="J12" s="144"/>
      <c r="K12" s="144"/>
      <c r="L12" s="145"/>
    </row>
    <row r="13" spans="1:12" ht="15" customHeight="1" thickBot="1">
      <c r="A13" s="708"/>
      <c r="B13" s="146" t="s">
        <v>138</v>
      </c>
      <c r="C13" s="147" t="s">
        <v>70</v>
      </c>
      <c r="D13" s="416">
        <v>2.4489999999999998</v>
      </c>
      <c r="E13" s="416">
        <f t="shared" si="0" ref="E13:E27">D13</f>
        <v>2.4489999999999998</v>
      </c>
      <c r="F13" s="416">
        <v>0.1032</v>
      </c>
      <c r="G13" s="148">
        <v>88</v>
      </c>
      <c r="H13" s="148">
        <v>102</v>
      </c>
      <c r="I13" s="144" t="e">
        <f>300*((D13+D13)*COS(PI()*$N$6/180)+(F13+F13)*SIN(PI()*$N$6/180))/('BT-MX (CONDOMINIO HORIZONTAL)'!$D$13^2)</f>
        <v>#DIV/0!</v>
      </c>
      <c r="J13" s="137"/>
      <c r="K13" s="137"/>
      <c r="L13" s="149"/>
    </row>
    <row r="14" spans="1:12" ht="15" customHeight="1" thickBot="1">
      <c r="A14" s="709"/>
      <c r="B14" s="150" t="s">
        <v>139</v>
      </c>
      <c r="C14" s="151" t="s">
        <v>76</v>
      </c>
      <c r="D14" s="417">
        <v>1.5389999999999999</v>
      </c>
      <c r="E14" s="417">
        <f t="shared" si="0"/>
        <v>1.5389999999999999</v>
      </c>
      <c r="F14" s="417">
        <v>0.1007</v>
      </c>
      <c r="G14" s="152">
        <v>122</v>
      </c>
      <c r="H14" s="152">
        <v>143</v>
      </c>
      <c r="I14" s="144" t="e">
        <f>300*((D14+D14)*COS(PI()*$N$6/180)+(F14+F14)*SIN(PI()*$N$6/180))/('BT-MX (CONDOMINIO HORIZONTAL)'!$D$13^2)</f>
        <v>#DIV/0!</v>
      </c>
      <c r="J14" s="153"/>
      <c r="K14" s="153"/>
      <c r="L14" s="154"/>
    </row>
    <row r="15" spans="1:12" ht="15" customHeight="1">
      <c r="A15" s="707" t="s">
        <v>140</v>
      </c>
      <c r="B15" s="141" t="s">
        <v>141</v>
      </c>
      <c r="C15" s="142" t="s">
        <v>59</v>
      </c>
      <c r="D15" s="415">
        <v>3.8719999999999999</v>
      </c>
      <c r="E15" s="415">
        <f t="shared" si="0"/>
        <v>3.8719999999999999</v>
      </c>
      <c r="F15" s="415">
        <v>0.1084</v>
      </c>
      <c r="G15" s="143">
        <v>55</v>
      </c>
      <c r="H15" s="143">
        <v>71</v>
      </c>
      <c r="I15" s="144"/>
      <c r="J15" s="144" t="e">
        <f>150*((D15+0.5*D15)*COS(PI()*$N$6/180)+(F15+0.5*F15)*SIN(PI()*$N$6/180))/('BT-MX (CONDOMINIO HORIZONTAL)'!$D$13^2)</f>
        <v>#DIV/0!</v>
      </c>
      <c r="K15" s="144"/>
      <c r="L15" s="388">
        <v>0.0104</v>
      </c>
    </row>
    <row r="16" spans="1:12" ht="15" customHeight="1">
      <c r="A16" s="708"/>
      <c r="B16" s="146" t="s">
        <v>142</v>
      </c>
      <c r="C16" s="147" t="s">
        <v>70</v>
      </c>
      <c r="D16" s="416">
        <v>2.4489999999999998</v>
      </c>
      <c r="E16" s="416">
        <f t="shared" si="0"/>
        <v>2.4489999999999998</v>
      </c>
      <c r="F16" s="416">
        <v>0.107</v>
      </c>
      <c r="G16" s="148">
        <v>88</v>
      </c>
      <c r="H16" s="148">
        <v>102</v>
      </c>
      <c r="I16" s="137"/>
      <c r="J16" s="137" t="e">
        <f>150*((D16+0.5*D16)*COS(PI()*$N$6/180)+(F16+0.5*F16)*SIN(PI()*$N$6/180))/('BT-MX (CONDOMINIO HORIZONTAL)'!$D$13^2)</f>
        <v>#DIV/0!</v>
      </c>
      <c r="K16" s="137"/>
      <c r="L16" s="389">
        <v>0.00662</v>
      </c>
    </row>
    <row r="17" spans="1:12" ht="15" customHeight="1">
      <c r="A17" s="708"/>
      <c r="B17" s="146" t="s">
        <v>143</v>
      </c>
      <c r="C17" s="147" t="s">
        <v>76</v>
      </c>
      <c r="D17" s="416">
        <v>1.5389999999999999</v>
      </c>
      <c r="E17" s="416">
        <f t="shared" si="0"/>
        <v>1.5389999999999999</v>
      </c>
      <c r="F17" s="416">
        <v>0.1047</v>
      </c>
      <c r="G17" s="148">
        <v>122</v>
      </c>
      <c r="H17" s="148">
        <v>143</v>
      </c>
      <c r="I17" s="137"/>
      <c r="J17" s="137" t="e">
        <f>150*((D17+0.5*D17)*COS(PI()*$N$6/180)+(F17+0.5*F17)*SIN(PI()*$N$6/180))/('BT-MX (CONDOMINIO HORIZONTAL)'!$D$13^2)</f>
        <v>#DIV/0!</v>
      </c>
      <c r="K17" s="137"/>
      <c r="L17" s="389">
        <v>0.0042199999999999998</v>
      </c>
    </row>
    <row r="18" spans="1:12" ht="15" customHeight="1">
      <c r="A18" s="708"/>
      <c r="B18" s="146" t="s">
        <v>144</v>
      </c>
      <c r="C18" s="147" t="s">
        <v>74</v>
      </c>
      <c r="D18" s="416">
        <v>1.113</v>
      </c>
      <c r="E18" s="416">
        <f t="shared" si="0"/>
        <v>1.113</v>
      </c>
      <c r="F18" s="416">
        <v>0.1048</v>
      </c>
      <c r="G18" s="148">
        <v>149</v>
      </c>
      <c r="H18" s="148">
        <v>175</v>
      </c>
      <c r="I18" s="137"/>
      <c r="J18" s="137" t="e">
        <f>150*((D18+0.5*D18)*COS(PI()*$N$6/180)+(F18+0.5*F18)*SIN(PI()*$N$6/180))/('BT-MX (CONDOMINIO HORIZONTAL)'!$D$13^2)</f>
        <v>#DIV/0!</v>
      </c>
      <c r="K18" s="137"/>
      <c r="L18" s="389">
        <v>0.0031099999999999999</v>
      </c>
    </row>
    <row r="19" spans="1:12" ht="15" customHeight="1">
      <c r="A19" s="708"/>
      <c r="B19" s="146" t="s">
        <v>145</v>
      </c>
      <c r="C19" s="147" t="s">
        <v>83</v>
      </c>
      <c r="D19" s="416">
        <v>0.82199999999999995</v>
      </c>
      <c r="E19" s="416">
        <f t="shared" si="0"/>
        <v>0.82199999999999995</v>
      </c>
      <c r="F19" s="416">
        <v>0.1028</v>
      </c>
      <c r="G19" s="148">
        <v>178</v>
      </c>
      <c r="H19" s="148">
        <v>211</v>
      </c>
      <c r="I19" s="137"/>
      <c r="J19" s="137" t="e">
        <f>150*((D19+0.5*D19)*COS(PI()*$N$6/180)+(F19+0.5*F19)*SIN(PI()*$N$6/180))/('BT-MX (CONDOMINIO HORIZONTAL)'!$D$13^2)</f>
        <v>#DIV/0!</v>
      </c>
      <c r="K19" s="137"/>
      <c r="L19" s="389">
        <v>0.0023400000000000001</v>
      </c>
    </row>
    <row r="20" spans="1:12" ht="15" customHeight="1" thickBot="1">
      <c r="A20" s="709"/>
      <c r="B20" s="150" t="s">
        <v>146</v>
      </c>
      <c r="C20" s="151" t="s">
        <v>78</v>
      </c>
      <c r="D20" s="417">
        <v>0.56899999999999995</v>
      </c>
      <c r="E20" s="417">
        <f t="shared" si="0"/>
        <v>0.56899999999999995</v>
      </c>
      <c r="F20" s="417">
        <v>0.098000000000000004</v>
      </c>
      <c r="G20" s="152">
        <v>220</v>
      </c>
      <c r="H20" s="152">
        <v>268</v>
      </c>
      <c r="I20" s="153"/>
      <c r="J20" s="137" t="e">
        <f>150*((D20+0.5*D20)*COS(PI()*$N$6/180)+(F20+0.5*F20)*SIN(PI()*$N$6/180))/('BT-MX (CONDOMINIO HORIZONTAL)'!$D$13^2)</f>
        <v>#DIV/0!</v>
      </c>
      <c r="K20" s="153"/>
      <c r="L20" s="390">
        <v>0.016799999999999999</v>
      </c>
    </row>
    <row r="21" spans="1:12" ht="15" customHeight="1" thickBot="1">
      <c r="A21" s="707" t="s">
        <v>147</v>
      </c>
      <c r="B21" s="141" t="s">
        <v>148</v>
      </c>
      <c r="C21" s="142" t="s">
        <v>59</v>
      </c>
      <c r="D21" s="415">
        <v>3.8719999999999999</v>
      </c>
      <c r="E21" s="415">
        <f t="shared" si="0"/>
        <v>3.8719999999999999</v>
      </c>
      <c r="F21" s="415">
        <v>0.1138</v>
      </c>
      <c r="G21" s="143">
        <v>43</v>
      </c>
      <c r="H21" s="143">
        <v>62</v>
      </c>
      <c r="I21" s="144"/>
      <c r="J21" s="144"/>
      <c r="K21" s="144" t="e">
        <f>100*(D21*COS(PI()*$N$6/180)+F21*SIN(PI()*$N$6/180))/('BT-MX (CONDOMINIO HORIZONTAL)'!$D$13^2)</f>
        <v>#DIV/0!</v>
      </c>
      <c r="L21" s="145"/>
    </row>
    <row r="22" spans="1:12" ht="15" customHeight="1" thickBot="1">
      <c r="A22" s="708"/>
      <c r="B22" s="146" t="s">
        <v>149</v>
      </c>
      <c r="C22" s="147" t="s">
        <v>70</v>
      </c>
      <c r="D22" s="416">
        <v>2.4489999999999998</v>
      </c>
      <c r="E22" s="416">
        <f t="shared" si="0"/>
        <v>2.4489999999999998</v>
      </c>
      <c r="F22" s="416">
        <v>0.1087</v>
      </c>
      <c r="G22" s="148">
        <v>78</v>
      </c>
      <c r="H22" s="148">
        <v>90</v>
      </c>
      <c r="I22" s="137"/>
      <c r="J22" s="137"/>
      <c r="K22" s="144" t="e">
        <f>100*(D22*COS(PI()*$N$6/180)+F22*SIN(PI()*$N$6/180))/('BT-MX (CONDOMINIO HORIZONTAL)'!$D$13^2)</f>
        <v>#DIV/0!</v>
      </c>
      <c r="L22" s="149"/>
    </row>
    <row r="23" spans="1:12" ht="15" customHeight="1" thickBot="1">
      <c r="A23" s="708"/>
      <c r="B23" s="146" t="s">
        <v>150</v>
      </c>
      <c r="C23" s="147" t="s">
        <v>76</v>
      </c>
      <c r="D23" s="416">
        <v>1.5389999999999999</v>
      </c>
      <c r="E23" s="416">
        <f t="shared" si="0"/>
        <v>1.5389999999999999</v>
      </c>
      <c r="F23" s="416">
        <v>0.1076</v>
      </c>
      <c r="G23" s="148">
        <v>104</v>
      </c>
      <c r="H23" s="148">
        <v>122</v>
      </c>
      <c r="I23" s="137"/>
      <c r="J23" s="137"/>
      <c r="K23" s="144" t="e">
        <f>100*(D23*COS(PI()*$N$6/180)+F23*SIN(PI()*$N$6/180))/('BT-MX (CONDOMINIO HORIZONTAL)'!$D$13^2)</f>
        <v>#DIV/0!</v>
      </c>
      <c r="L23" s="149"/>
    </row>
    <row r="24" spans="1:12" ht="15" customHeight="1" thickBot="1">
      <c r="A24" s="708"/>
      <c r="B24" s="146" t="s">
        <v>151</v>
      </c>
      <c r="C24" s="147" t="s">
        <v>74</v>
      </c>
      <c r="D24" s="416">
        <v>1.1201000000000001</v>
      </c>
      <c r="E24" s="416">
        <f t="shared" si="0"/>
        <v>1.1201000000000001</v>
      </c>
      <c r="F24" s="416">
        <v>0.1135</v>
      </c>
      <c r="G24" s="148">
        <v>126</v>
      </c>
      <c r="H24" s="148">
        <v>148</v>
      </c>
      <c r="I24" s="137"/>
      <c r="J24" s="137"/>
      <c r="K24" s="144" t="e">
        <f>100*(D24*COS(PI()*$N$6/180)+F24*SIN(PI()*$N$6/180))/('BT-MX (CONDOMINIO HORIZONTAL)'!$D$13^2)</f>
        <v>#DIV/0!</v>
      </c>
      <c r="L24" s="149"/>
    </row>
    <row r="25" spans="1:12" ht="15" customHeight="1" thickBot="1">
      <c r="A25" s="708"/>
      <c r="B25" s="146" t="s">
        <v>152</v>
      </c>
      <c r="C25" s="147" t="s">
        <v>83</v>
      </c>
      <c r="D25" s="416">
        <v>0.8327</v>
      </c>
      <c r="E25" s="416">
        <f t="shared" si="0"/>
        <v>0.8327</v>
      </c>
      <c r="F25" s="416">
        <v>0.1115</v>
      </c>
      <c r="G25" s="148">
        <v>152</v>
      </c>
      <c r="H25" s="148">
        <v>180</v>
      </c>
      <c r="I25" s="137"/>
      <c r="J25" s="137"/>
      <c r="K25" s="144" t="e">
        <f>100*(D25*COS(PI()*$N$6/180)+F25*SIN(PI()*$N$6/180))/('BT-MX (CONDOMINIO HORIZONTAL)'!$D$13^2)</f>
        <v>#DIV/0!</v>
      </c>
      <c r="L25" s="149"/>
    </row>
    <row r="26" spans="1:12" ht="15" customHeight="1" thickBot="1">
      <c r="A26" s="708"/>
      <c r="B26" s="146" t="s">
        <v>153</v>
      </c>
      <c r="C26" s="147" t="s">
        <v>78</v>
      </c>
      <c r="D26" s="416">
        <v>0.57869999999999999</v>
      </c>
      <c r="E26" s="416">
        <f t="shared" si="0"/>
        <v>0.57869999999999999</v>
      </c>
      <c r="F26" s="416">
        <v>0.1067</v>
      </c>
      <c r="G26" s="148">
        <v>190</v>
      </c>
      <c r="H26" s="148">
        <v>225</v>
      </c>
      <c r="I26" s="137"/>
      <c r="J26" s="137"/>
      <c r="K26" s="144" t="e">
        <f>100*(D26*COS(PI()*$N$6/180)+F26*SIN(PI()*$N$6/180))/('BT-MX (CONDOMINIO HORIZONTAL)'!$D$13^2)</f>
        <v>#DIV/0!</v>
      </c>
      <c r="L26" s="149"/>
    </row>
    <row r="27" spans="1:12" ht="15" customHeight="1" thickBot="1">
      <c r="A27" s="709"/>
      <c r="B27" s="150" t="s">
        <v>154</v>
      </c>
      <c r="C27" s="151" t="s">
        <v>86</v>
      </c>
      <c r="D27" s="417">
        <v>0.34239999999999998</v>
      </c>
      <c r="E27" s="417">
        <f t="shared" si="0"/>
        <v>0.34239999999999998</v>
      </c>
      <c r="F27" s="417">
        <v>0.098799999999999999</v>
      </c>
      <c r="G27" s="152">
        <v>268</v>
      </c>
      <c r="H27" s="152">
        <v>319</v>
      </c>
      <c r="I27" s="153"/>
      <c r="J27" s="153"/>
      <c r="K27" s="144" t="e">
        <f>100*(D27*COS(PI()*$N$6/180)+F27*SIN(PI()*$N$6/180))/('BT-MX (CONDOMINIO HORIZONTAL)'!$D$13^2)</f>
        <v>#DIV/0!</v>
      </c>
      <c r="L27" s="154"/>
    </row>
    <row r="28" spans="3:3" ht="12.75">
      <c r="C28" s="136"/>
    </row>
  </sheetData>
  <customSheetViews>
    <customSheetView guid="{adcfddaa-af71-42ce-8fd7-7abb67cb940b}" hiddenColumns="1" printArea="1" scale="60" showGridLines="0" showPageBreaks="1" topLeftCell="A1" view="pageBreakPreview">
      <selection pane="topLeft" activeCell="M40" sqref="M40"/>
      <pageMargins left="0" right="0" top="0" bottom="0" header="0" footer="0"/>
      <printOptions horizontalCentered="1" verticalCentered="1"/>
      <pageSetup horizontalDpi="300" verticalDpi="300" orientation="landscape" paperSize="1" scale="83" r:id="rId3"/>
      <headerFooter alignWithMargins="0"/>
    </customSheetView>
  </customSheetViews>
  <mergeCells count="12">
    <mergeCell ref="A21:A27"/>
    <mergeCell ref="B10:B11"/>
    <mergeCell ref="I10:L10"/>
    <mergeCell ref="G10:H10"/>
    <mergeCell ref="A10:A11"/>
    <mergeCell ref="D10:E10"/>
    <mergeCell ref="F10:F11"/>
    <mergeCell ref="A2:L2"/>
    <mergeCell ref="A3:L3"/>
    <mergeCell ref="A12:A14"/>
    <mergeCell ref="A15:A20"/>
    <mergeCell ref="A8:L8"/>
  </mergeCells>
  <printOptions horizontalCentered="1"/>
  <pageMargins left="0.393700787401575" right="0.393700787401575" top="0.78740157480315" bottom="0.78740157480315" header="0.511811023622047" footer="0.511811023622047"/>
  <pageSetup horizontalDpi="300" verticalDpi="300" orientation="landscape" paperSize="9" scale="90" r:id="rId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B47"/>
  <sheetViews>
    <sheetView showGridLines="0" view="pageBreakPreview" zoomScale="73" zoomScaleNormal="75" zoomScaleSheetLayoutView="73" workbookViewId="0" topLeftCell="A1">
      <selection pane="topLeft" activeCell="Q17" sqref="Q17"/>
    </sheetView>
  </sheetViews>
  <sheetFormatPr defaultRowHeight="12.75"/>
  <cols>
    <col min="1" max="1" width="10.2857142857143" customWidth="1"/>
    <col min="2" max="2" width="10.2857142857143" hidden="1" customWidth="1"/>
    <col min="3" max="3" width="10.5714285714286" customWidth="1"/>
    <col min="4" max="5" width="10.2857142857143" customWidth="1"/>
    <col min="6" max="6" width="10.7142857142857" customWidth="1"/>
    <col min="7" max="7" width="10.2857142857143" customWidth="1"/>
    <col min="8" max="8" width="10.4285714285714" customWidth="1"/>
    <col min="9" max="9" width="10.5714285714286" customWidth="1"/>
    <col min="10" max="11" width="10.7142857142857" customWidth="1"/>
    <col min="12" max="12" width="11.2857142857143" customWidth="1"/>
    <col min="13" max="13" width="10.5714285714286" customWidth="1"/>
    <col min="14" max="15" width="8.71428571428571" customWidth="1"/>
    <col min="16" max="16" width="9" customWidth="1"/>
    <col min="17" max="17" width="5.57142857142857" customWidth="1"/>
    <col min="19" max="19" width="5" customWidth="1"/>
    <col min="20" max="20" width="5.42857142857143" customWidth="1"/>
    <col min="22" max="22" width="4.71428571428571" customWidth="1"/>
    <col min="23" max="23" width="6.28571428571429" customWidth="1"/>
    <col min="25" max="25" width="4.71428571428571" customWidth="1"/>
  </cols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7" ht="12.75">
      <c r="A2" s="711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1"/>
      <c r="M2" s="711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632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5" spans="1:13" ht="20.25">
      <c r="A5" s="632" t="s">
        <v>184</v>
      </c>
      <c r="B5" s="632"/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</row>
    <row r="6" spans="1:13" ht="12" customHeight="1" thickBot="1">
      <c r="A6" s="2"/>
      <c r="B6" s="2"/>
      <c r="C6" s="15"/>
      <c r="D6" s="15"/>
      <c r="E6" s="15"/>
      <c r="F6" s="15"/>
      <c r="G6" s="15"/>
      <c r="H6" s="15"/>
      <c r="I6" s="2"/>
      <c r="J6" s="2"/>
      <c r="K6" s="2"/>
      <c r="L6" s="2"/>
      <c r="M6" s="2"/>
    </row>
    <row r="7" spans="1:13" ht="13.5" customHeight="1">
      <c r="A7" s="2"/>
      <c r="B7" s="2"/>
      <c r="C7" s="742" t="s">
        <v>185</v>
      </c>
      <c r="D7" s="743"/>
      <c r="E7" s="743"/>
      <c r="F7" s="743"/>
      <c r="G7" s="743"/>
      <c r="H7" s="743"/>
      <c r="I7" s="744" t="s">
        <v>186</v>
      </c>
      <c r="J7" s="745"/>
      <c r="K7" s="745"/>
      <c r="L7" s="745"/>
      <c r="M7" s="746"/>
    </row>
    <row r="8" spans="1:13" ht="12.75" customHeight="1" thickBot="1">
      <c r="A8" s="2"/>
      <c r="B8" s="2"/>
      <c r="C8" s="95"/>
      <c r="D8" s="2"/>
      <c r="E8" s="2"/>
      <c r="F8" s="2"/>
      <c r="G8" s="2"/>
      <c r="H8" s="2"/>
      <c r="I8" s="732" t="s">
        <v>20</v>
      </c>
      <c r="J8" s="733"/>
      <c r="K8" s="2"/>
      <c r="L8" s="733" t="s">
        <v>30</v>
      </c>
      <c r="M8" s="741"/>
    </row>
    <row r="9" spans="1:13" ht="12.75">
      <c r="A9" s="2"/>
      <c r="B9" s="2"/>
      <c r="C9" s="96" t="s">
        <v>187</v>
      </c>
      <c r="D9" s="97">
        <f>13.8</f>
        <v>13.800000000000001</v>
      </c>
      <c r="E9" s="2"/>
      <c r="F9" s="2"/>
      <c r="G9" s="2"/>
      <c r="H9" s="2"/>
      <c r="I9" s="96" t="s">
        <v>188</v>
      </c>
      <c r="J9" s="98">
        <f>'BT-MX (CONDOMINIO HORIZONTAL)'!D13</f>
        <v>0</v>
      </c>
      <c r="K9" s="2"/>
      <c r="L9" s="96" t="s">
        <v>188</v>
      </c>
      <c r="M9" s="99">
        <f>'BT-MX (CONDOMINIO HORIZONTAL)'!D15</f>
        <v>0</v>
      </c>
    </row>
    <row r="10" spans="1:13" ht="12.75">
      <c r="A10" s="2"/>
      <c r="B10" s="2"/>
      <c r="C10" s="100"/>
      <c r="D10" s="101"/>
      <c r="E10" s="2"/>
      <c r="F10" s="2"/>
      <c r="G10" s="2"/>
      <c r="H10" s="2"/>
      <c r="I10" s="100"/>
      <c r="J10" s="101"/>
      <c r="K10" s="2"/>
      <c r="L10" s="100"/>
      <c r="M10" s="101"/>
    </row>
    <row r="11" spans="1:13" ht="12.75">
      <c r="A11" s="2"/>
      <c r="B11" s="2"/>
      <c r="C11" s="95"/>
      <c r="D11" s="102"/>
      <c r="E11" s="2"/>
      <c r="F11" s="2"/>
      <c r="G11" s="2"/>
      <c r="H11" s="2"/>
      <c r="I11" s="95"/>
      <c r="J11" s="102"/>
      <c r="K11" s="2"/>
      <c r="L11" s="95"/>
      <c r="M11" s="102"/>
    </row>
    <row r="12" spans="1:13" ht="12.75">
      <c r="A12" s="2"/>
      <c r="B12" s="2"/>
      <c r="C12" s="100" t="s">
        <v>189</v>
      </c>
      <c r="D12" s="103">
        <v>0.92</v>
      </c>
      <c r="E12" s="2"/>
      <c r="F12" s="2"/>
      <c r="G12" s="2"/>
      <c r="H12" s="2"/>
      <c r="I12" s="100" t="s">
        <v>189</v>
      </c>
      <c r="J12" s="104">
        <f>'BT-MX (LOTEAMENTO)'!G13</f>
        <v>0</v>
      </c>
      <c r="K12" s="2"/>
      <c r="L12" s="100" t="s">
        <v>189</v>
      </c>
      <c r="M12" s="105">
        <f>'BT-MX (LOTEAMENTO)'!G13</f>
        <v>0</v>
      </c>
    </row>
    <row r="13" spans="1:13" ht="13.5" thickBot="1">
      <c r="A13" s="2"/>
      <c r="B13" s="2"/>
      <c r="C13" s="106" t="s">
        <v>190</v>
      </c>
      <c r="D13" s="107">
        <f>(ACOS(D12)/3.1416)*180</f>
        <v>23.073864108899627</v>
      </c>
      <c r="E13" s="2"/>
      <c r="F13" s="2"/>
      <c r="G13" s="2"/>
      <c r="H13" s="2"/>
      <c r="I13" s="106" t="s">
        <v>190</v>
      </c>
      <c r="J13" s="107">
        <f>(ACOS(J12)/3.1416)*180</f>
        <v>89.999789541342423</v>
      </c>
      <c r="K13" s="2"/>
      <c r="L13" s="106" t="s">
        <v>190</v>
      </c>
      <c r="M13" s="107">
        <f>(ACOS(M12)/3.1416)*180</f>
        <v>89.999789541342423</v>
      </c>
    </row>
    <row r="14" spans="1:13" ht="12.75" customHeight="1" thickBot="1">
      <c r="A14" s="2"/>
      <c r="B14" s="2"/>
      <c r="C14" s="739" t="s">
        <v>191</v>
      </c>
      <c r="D14" s="740"/>
      <c r="E14" s="2"/>
      <c r="F14" s="2"/>
      <c r="G14" s="2"/>
      <c r="H14" s="2"/>
      <c r="I14" s="739" t="s">
        <v>191</v>
      </c>
      <c r="J14" s="740"/>
      <c r="K14" s="2"/>
      <c r="L14" s="739" t="s">
        <v>191</v>
      </c>
      <c r="M14" s="740"/>
    </row>
    <row r="15" spans="1:14" ht="14.25" customHeight="1" thickBot="1">
      <c r="A15" s="2"/>
      <c r="C15" s="736" t="s">
        <v>192</v>
      </c>
      <c r="D15" s="737"/>
      <c r="E15" s="737"/>
      <c r="F15" s="736" t="s">
        <v>193</v>
      </c>
      <c r="G15" s="737"/>
      <c r="H15" s="737"/>
      <c r="I15" s="737"/>
      <c r="J15" s="737"/>
      <c r="K15" s="737"/>
      <c r="L15" s="737"/>
      <c r="M15" s="738"/>
      <c r="N15" s="10"/>
    </row>
    <row r="16" spans="1:28" ht="15.75" customHeight="1">
      <c r="A16" s="730" t="s">
        <v>194</v>
      </c>
      <c r="B16" s="108"/>
      <c r="C16" s="109" t="s">
        <v>195</v>
      </c>
      <c r="D16" s="110" t="s">
        <v>196</v>
      </c>
      <c r="E16" s="111" t="s">
        <v>197</v>
      </c>
      <c r="F16" s="109" t="s">
        <v>195</v>
      </c>
      <c r="G16" s="110" t="s">
        <v>196</v>
      </c>
      <c r="H16" s="111" t="s">
        <v>197</v>
      </c>
      <c r="I16" s="734" t="s">
        <v>198</v>
      </c>
      <c r="J16" s="735"/>
      <c r="K16" s="451" t="s">
        <v>199</v>
      </c>
      <c r="L16" s="452" t="s">
        <v>198</v>
      </c>
      <c r="M16" s="452" t="s">
        <v>199</v>
      </c>
      <c r="AA16" s="2"/>
      <c r="AB16" s="2"/>
    </row>
    <row r="17" spans="1:28" ht="28.5" customHeight="1" thickBot="1">
      <c r="A17" s="731"/>
      <c r="B17" s="112"/>
      <c r="C17" s="113" t="s">
        <v>200</v>
      </c>
      <c r="D17" s="114" t="s">
        <v>201</v>
      </c>
      <c r="E17" s="115" t="s">
        <v>202</v>
      </c>
      <c r="F17" s="113" t="s">
        <v>200</v>
      </c>
      <c r="G17" s="113" t="s">
        <v>201</v>
      </c>
      <c r="H17" s="115" t="s">
        <v>202</v>
      </c>
      <c r="I17" s="116" t="s">
        <v>200</v>
      </c>
      <c r="J17" s="116" t="s">
        <v>201</v>
      </c>
      <c r="K17" s="116" t="s">
        <v>202</v>
      </c>
      <c r="L17" s="117" t="s">
        <v>203</v>
      </c>
      <c r="M17" s="117" t="s">
        <v>204</v>
      </c>
      <c r="AA17" s="2"/>
      <c r="AB17" s="2"/>
    </row>
    <row r="18" spans="1:28" ht="12.75">
      <c r="A18" s="118" t="s">
        <v>205</v>
      </c>
      <c r="B18" s="119" t="s">
        <v>59</v>
      </c>
      <c r="C18" s="120">
        <f>(('Características dos Cabos'!$G$14*COS((D13/180)*3.1416)+'Características dos Cabos'!$I$14*SIN((D13/180)*3.1416))/$D$9^2)*100</f>
        <v>0.89922196699385548</v>
      </c>
      <c r="D18" s="121">
        <f>((('Características dos Cabos'!$G$14+0.5*'Características dos Cabos'!$G$14)*COS((D13/180)*3.1416)+('Características dos Cabos'!$H$14+0.5*'Características dos Cabos'!$H$14)*SIN((D13/180)*3.1416))/$D$9^2)*150</f>
        <v>2.0318619983667543</v>
      </c>
      <c r="E18" s="120">
        <f>((('Características dos Cabos'!$G$14+'Características dos Cabos'!$G$14)*COS((D13/180)*3.1416)+('Características dos Cabos'!$J$14+'Características dos Cabos'!$J$14)*SIN((D13/180)*3.1416))/$D$9^2)*300</f>
        <v>5.3485337370600536</v>
      </c>
      <c r="F18" s="120">
        <f>(('Características dos Cabos'!$F$25*COS((D13/180)*3.1416)+'Características dos Cabos'!$H$25*SIN((D13/180)*3.1416))/$D$9^2)*100</f>
        <v>0.87848624879441806</v>
      </c>
      <c r="G18" s="120">
        <f>((('Características dos Cabos'!$F$25+0.5*'Características dos Cabos'!$F$25)*COS((D13/180)*3.1416)+('Características dos Cabos'!$G$25+0.5*'Características dos Cabos'!$G$25)*SIN((D13/180)*3.1416))/$D$9^2)*150</f>
        <v>1.9852066324180209</v>
      </c>
      <c r="H18" s="120">
        <f>((('Características dos Cabos'!$F$25+'Características dos Cabos'!$F$25)*COS((D13/180)*3.1416)+('Características dos Cabos'!$I$25+'Características dos Cabos'!$I$25)*SIN((D13/180)*3.1416))/$D$9^2)*300</f>
        <v>5.22411942786343</v>
      </c>
      <c r="I18" s="122" t="e">
        <f>(('Características dos Cabos'!$F$25*COS((J13/180)*PI())+'Características dos Cabos'!$J$25*SIN((J13/180)*PI()))/$J$9^2)*100</f>
        <v>#DIV/0!</v>
      </c>
      <c r="J18" s="122" t="e">
        <f>((('Características dos Cabos'!$F$25+0.5*'Características dos Cabos'!$F$25)*COS((J13/180)*3.1416)+('Características dos Cabos'!$J$25+0.5*'Características dos Cabos'!$J$25)*SIN((J13/180)*3.1416))/$J$9^2)*150</f>
        <v>#DIV/0!</v>
      </c>
      <c r="K18" s="122" t="e">
        <f>((('Características dos Cabos'!$F$25+'Características dos Cabos'!$F$25)*COS((J13/180)*3.1416)+('Características dos Cabos'!$K$25+'Características dos Cabos'!$K$25)*SIN((J13/180)*3.1416))/$J$9^2)*300</f>
        <v>#DIV/0!</v>
      </c>
      <c r="L18" s="123" t="e">
        <f>((((('Características dos Cabos'!$F$25)/2+'Características dos Cabos'!$F$25)*COS(($M$13/180)*3.1416))+((('Características dos Cabos'!$J$25)/2+'Características dos Cabos'!$J$25)*SIN(($M$13/180)*3.1416)))/(($M$9/2)^2))*100</f>
        <v>#DIV/0!</v>
      </c>
      <c r="M18" s="123" t="e">
        <f>((((('Características dos Cabos'!$F$25)+'Características dos Cabos'!$F$25)*COS(($M$13/180)*3.1416))+((('Características dos Cabos'!$K$25)+'Características dos Cabos'!$K$25)*SIN(($M$13/180)*3.1416)))/(($M$9/2)^2))*100</f>
        <v>#DIV/0!</v>
      </c>
      <c r="AA18" s="2"/>
      <c r="AB18" s="2"/>
    </row>
    <row r="19" spans="1:28" ht="12.75">
      <c r="A19" s="124" t="s">
        <v>72</v>
      </c>
      <c r="B19" s="125" t="s">
        <v>70</v>
      </c>
      <c r="C19" s="126">
        <f>(('Características dos Cabos'!$G$15*COS((D13/180)*3.1416)+'Características dos Cabos'!$I$15*SIN((D13/180)*3.1416))/$D$9^2)*100</f>
        <v>0.6064156837844239</v>
      </c>
      <c r="D19" s="127">
        <f>((('Características dos Cabos'!$G$15+0.5*'Características dos Cabos'!$G$14)*COS((D13/180)*3.1416)+('Características dos Cabos'!$H$15+0.5*'Características dos Cabos'!$H$14)*SIN((D13/180)*3.1416))/$D$9^2)*150</f>
        <v>1.5926525735526074</v>
      </c>
      <c r="E19" s="126">
        <f>((('Características dos Cabos'!$G$15+'Características dos Cabos'!$G$14)*COS((D13/180)*3.1416)+('Características dos Cabos'!$J$15+'Características dos Cabos'!$J$14)*SIN((D13/180)*3.1416))/$D$9^2)*300</f>
        <v>4.4701148874317598</v>
      </c>
      <c r="F19" s="126">
        <f>(('Características dos Cabos'!$F$26*COS((D13/180)*3.1416)+'Características dos Cabos'!$H$26*SIN((D13/180)*3.1416))/$D$9^2)*100</f>
        <v>0.58626520115963687</v>
      </c>
      <c r="G19" s="126">
        <f>((('Características dos Cabos'!$F$26+0.5*'Características dos Cabos'!$F$25)*COS((D13/180)*3.1416)+('Características dos Cabos'!$G$26+0.5*'Características dos Cabos'!$G$25)*SIN((D13/180)*3.1416))/$D$9^2)*150</f>
        <v>1.5437881173706589</v>
      </c>
      <c r="H19" s="126">
        <f>((('Características dos Cabos'!$F$26+'Características dos Cabos'!$F$25)*COS((D13/180)*3.1416)+('Características dos Cabos'!$I$26+'Características dos Cabos'!$I$25)*SIN((D13/180)*3.1416))/$D$9^2)*300</f>
        <v>4.3474562849590868</v>
      </c>
      <c r="I19" s="128" t="e">
        <f>(('Características dos Cabos'!$F$26*COS((J13/180)*3.1416)+'Características dos Cabos'!$J$26*SIN((J13/180)*3.1416))/$J$9^2)*100</f>
        <v>#DIV/0!</v>
      </c>
      <c r="J19" s="128" t="e">
        <f>((('Características dos Cabos'!$F$26+0.5*'Características dos Cabos'!$F$25)*COS((J13/180)*3.1416)+('Características dos Cabos'!$J$26+0.5*'Características dos Cabos'!$J$25)*SIN((J13/180)*3.1416))/$J$9^2)*150</f>
        <v>#DIV/0!</v>
      </c>
      <c r="K19" s="128" t="e">
        <f>((('Características dos Cabos'!$F$26+'Características dos Cabos'!$F$25)*COS((J13/180)*3.1416)+('Características dos Cabos'!$K$26+'Características dos Cabos'!$K$25)*SIN((J13/180)*3.1416))/$J$9^2)*300</f>
        <v>#DIV/0!</v>
      </c>
      <c r="L19" s="123" t="e">
        <f>((((('Características dos Cabos'!$F$26)/2+'Características dos Cabos'!$F$25)*COS(($M$13/180)*3.1416))+((('Características dos Cabos'!$J$26)/2+'Características dos Cabos'!$J$25)*SIN(($M$13/180)*3.1416)))/(($M$9/2)^2))*100</f>
        <v>#DIV/0!</v>
      </c>
      <c r="M19" s="123" t="e">
        <f>((((('Características dos Cabos'!$F$26)+'Características dos Cabos'!$F$25)*COS(($M$13/180)*3.1416))+((('Características dos Cabos'!$K$26)+'Características dos Cabos'!$K$25)*SIN(($M$13/180)*3.1416)))/(($M$9/2)^2))*100</f>
        <v>#DIV/0!</v>
      </c>
      <c r="AA19" s="2"/>
      <c r="AB19" s="2"/>
    </row>
    <row r="20" spans="1:28" ht="12.75">
      <c r="A20" s="124" t="s">
        <v>75</v>
      </c>
      <c r="B20" s="125" t="s">
        <v>76</v>
      </c>
      <c r="C20" s="126">
        <f>(('Características dos Cabos'!$G$15*COS((D13/180)*3.1416)+'Características dos Cabos'!$I$15*SIN((D13/180)*3.1416))/$D$9^2)*100</f>
        <v>0.6064156837844239</v>
      </c>
      <c r="D20" s="127">
        <f>((('Características dos Cabos'!$G$15+0.5*'Características dos Cabos'!$G$15)*COS((D13/180)*3.1416)+('Características dos Cabos'!$H$15+0.5*'Características dos Cabos'!$H$15)*SIN((D13/180)*3.1416))/$D$9^2)*150</f>
        <v>1.3730478611455337</v>
      </c>
      <c r="E20" s="126">
        <f>((('Características dos Cabos'!$G$15+'Características dos Cabos'!$G$15)*COS((D13/180)*3.1416)+('Características dos Cabos'!$J$15+'Características dos Cabos'!$J$15)*SIN((D13/180)*3.1416))/$D$9^2)*300</f>
        <v>3.591696037803465</v>
      </c>
      <c r="F20" s="126">
        <f>(('Características dos Cabos'!$F$26*COS((D13/180)*3.1416)+'Características dos Cabos'!$H$26*SIN((D13/180)*3.1416))/$D$9^2)*100</f>
        <v>0.58626520115963687</v>
      </c>
      <c r="G20" s="126">
        <f>((('Características dos Cabos'!$F$26+0.5*'Características dos Cabos'!$F$26)*COS((D13/180)*3.1416)+('Características dos Cabos'!$G$26+0.5*'Características dos Cabos'!$G$26)*SIN((D13/180)*3.1416))/$D$9^2)*150</f>
        <v>1.3230788598469778</v>
      </c>
      <c r="H20" s="126">
        <f>((('Características dos Cabos'!$F$26+'Características dos Cabos'!$F$26)*COS((D13/180)*3.1416)+('Características dos Cabos'!$I$26+'Características dos Cabos'!$I$26)*SIN((D13/180)*3.1416))/$D$9^2)*300</f>
        <v>3.4707931420547427</v>
      </c>
      <c r="I20" s="128" t="e">
        <f>(('Características dos Cabos'!$F$26*COS((J13/180)*3.1416)+'Características dos Cabos'!$J$26*SIN((J13/180)*3.1416))/$J$9^2)*100</f>
        <v>#DIV/0!</v>
      </c>
      <c r="J20" s="128" t="e">
        <f>((('Características dos Cabos'!$F$26+0.5*'Características dos Cabos'!$F$26)*COS((J13/180)*3.1416)+('Características dos Cabos'!$J$26+0.5*'Características dos Cabos'!$J$26)*SIN((J13/180)*3.1416))/$J$9^2)*150</f>
        <v>#DIV/0!</v>
      </c>
      <c r="K20" s="128" t="e">
        <f>((('Características dos Cabos'!$F$26+'Características dos Cabos'!$F$26)*COS((J13/180)*3.1416)+('Características dos Cabos'!$K$26+'Características dos Cabos'!$K$26)*SIN((J13/180)*3.1416))/$J$9^2)*300</f>
        <v>#DIV/0!</v>
      </c>
      <c r="L20" s="123" t="e">
        <f>((((('Características dos Cabos'!$F$26)/2+'Características dos Cabos'!$F$26)*COS(($M$13/180)*3.1416))+((('Características dos Cabos'!$J$26)/2+'Características dos Cabos'!$J$26)*SIN(($M$13/180)*3.1416)))/(($M$9/2)^2))*100</f>
        <v>#DIV/0!</v>
      </c>
      <c r="M20" s="123" t="e">
        <f>((((('Características dos Cabos'!$F$26)+'Características dos Cabos'!$F$26)*COS(($M$13/180)*3.1416))+((('Características dos Cabos'!$K$26)+'Características dos Cabos'!$K$26)*SIN(($M$13/180)*3.1416)))/(($M$9/2)^2))*100</f>
        <v>#DIV/0!</v>
      </c>
      <c r="AA20" s="2"/>
      <c r="AB20" s="2"/>
    </row>
    <row r="21" spans="1:28" ht="12.75">
      <c r="A21" s="124" t="s">
        <v>81</v>
      </c>
      <c r="B21" s="125" t="s">
        <v>74</v>
      </c>
      <c r="C21" s="126">
        <f>(('Características dos Cabos'!$G$16*COS((D13/180)*3.1416)+'Características dos Cabos'!$I$16*SIN((D13/180)*3.1416))/$D$9^2)*100</f>
        <v>0.42075617135741517</v>
      </c>
      <c r="D21" s="127">
        <f>((('Características dos Cabos'!$G$16+0.5*'Características dos Cabos'!$G$14)*COS((D13/180)*3.1416)+('Características dos Cabos'!$H$16+0.5*'Características dos Cabos'!$H$14)*SIN((D13/180)*3.1416))/$D$9^2)*150</f>
        <v>1.3143485215278057</v>
      </c>
      <c r="E21" s="126">
        <f>((('Características dos Cabos'!$G$16+'Características dos Cabos'!$G$14)*COS((D13/180)*3.1416)+('Características dos Cabos'!$J$16+'Características dos Cabos'!$J$14)*SIN((D13/180)*3.1416))/$D$9^2)*300</f>
        <v>3.8826373474302565</v>
      </c>
      <c r="F21" s="126">
        <f>(('Características dos Cabos'!$F$27*COS((D13/180)*3.1416)+'Características dos Cabos'!$H$27*SIN((D13/180)*3.1416))/$D$9^2)*100</f>
        <v>0.40053816310051438</v>
      </c>
      <c r="G21" s="126">
        <f>((('Características dos Cabos'!$F$27+0.5*'Características dos Cabos'!$F$25)*COS((D13/180)*3.1416)+('Características dos Cabos'!$G$27+0.5*'Características dos Cabos'!$G$25)*SIN((D13/180)*3.1416))/$D$9^2)*150</f>
        <v>1.2683153733131169</v>
      </c>
      <c r="H21" s="126">
        <f>((('Características dos Cabos'!$F$27+'Características dos Cabos'!$F$25)*COS((D13/180)*3.1416)+('Características dos Cabos'!$I$27+'Características dos Cabos'!$I$25)*SIN((D13/180)*3.1416))/$D$9^2)*300</f>
        <v>3.7902751707817188</v>
      </c>
      <c r="I21" s="128" t="e">
        <f>(('Características dos Cabos'!$F$27*COS((J13/180)*3.1416)+'Características dos Cabos'!$J$27*SIN((J13/180)*3.1416))/$J$9^2)*100</f>
        <v>#DIV/0!</v>
      </c>
      <c r="J21" s="128" t="e">
        <f>((('Características dos Cabos'!$F$27+0.5*'Características dos Cabos'!$F$25)*COS((J13/180)*3.1416)+('Características dos Cabos'!$J$27+0.5*'Características dos Cabos'!$J$25)*SIN((J13/180)*3.1416))/$J$9^2)*150</f>
        <v>#DIV/0!</v>
      </c>
      <c r="K21" s="128" t="e">
        <f>((('Características dos Cabos'!$F$27+'Características dos Cabos'!$F$25)*COS((J13/180)*3.1416)+('Características dos Cabos'!$K$27+'Características dos Cabos'!$K$25)*SIN((J13/180)*3.1416))/$J$9^2)*300</f>
        <v>#DIV/0!</v>
      </c>
      <c r="L21" s="123" t="e">
        <f>((((('Características dos Cabos'!$F$27)/2+'Características dos Cabos'!$F$25)*COS(($M$13/180)*3.1416))+((('Características dos Cabos'!$J$27)/2+'Características dos Cabos'!$J$25)*SIN(($M$13/180)*3.1416)))/(($M$9/2)^2))*100</f>
        <v>#DIV/0!</v>
      </c>
      <c r="M21" s="123" t="e">
        <f>((((('Características dos Cabos'!$F$27)+'Características dos Cabos'!$F$25)*COS(($M$13/180)*3.1416))+((('Características dos Cabos'!$K$27)+'Características dos Cabos'!$K$25)*SIN(($M$13/180)*3.1416)))/(($M$9/2)^2))*100</f>
        <v>#DIV/0!</v>
      </c>
      <c r="AA21" s="2"/>
      <c r="AB21" s="2"/>
    </row>
    <row r="22" spans="1:28" ht="12.75">
      <c r="A22" s="124" t="s">
        <v>82</v>
      </c>
      <c r="B22" s="125" t="s">
        <v>83</v>
      </c>
      <c r="C22" s="126">
        <f>(('Características dos Cabos'!$G$16*COS((D13/180)*3.1416)+'Características dos Cabos'!$I$16*SIN((D13/180)*3.1416))/$D$9^2)*100</f>
        <v>0.42075617135741517</v>
      </c>
      <c r="D22" s="127">
        <f>((('Características dos Cabos'!$G$16+0.5*'Características dos Cabos'!$G$15)*COS((D13/180)*3.1416)+('Características dos Cabos'!$H$16+0.5*'Características dos Cabos'!$H$15)*SIN((D13/180)*3.1416))/$D$9^2)*150</f>
        <v>1.094743809120732</v>
      </c>
      <c r="E22" s="126">
        <f>((('Características dos Cabos'!$G$16+'Características dos Cabos'!$G$15)*COS((D13/180)*3.1416)+('Características dos Cabos'!$J$16+'Características dos Cabos'!$J$15)*SIN((D13/180)*3.1416))/$D$9^2)*300</f>
        <v>3.0042184978019626</v>
      </c>
      <c r="F22" s="126">
        <f>(('Características dos Cabos'!$F$27*COS((D13/180)*3.1416)+'Características dos Cabos'!$H$27*SIN((D13/180)*3.1416))/$D$9^2)*100</f>
        <v>0.40053816310051438</v>
      </c>
      <c r="G22" s="126">
        <f>((('Características dos Cabos'!$F$27+0.5*'Características dos Cabos'!$F$26)*COS((D13/180)*3.1416)+('Características dos Cabos'!$G$27+0.5*'Características dos Cabos'!$G$26)*SIN((D13/180)*3.1416))/$D$9^2)*150</f>
        <v>1.0476061157894359</v>
      </c>
      <c r="H22" s="126">
        <f>((('Características dos Cabos'!$F$27+'Características dos Cabos'!$F$26)*COS((D13/180)*3.1416)+('Características dos Cabos'!$I$27+'Características dos Cabos'!$I$26)*SIN((D13/180)*3.1416))/$D$9^2)*300</f>
        <v>2.9136120278773747</v>
      </c>
      <c r="I22" s="128" t="e">
        <f>(('Características dos Cabos'!$F$27*COS((J13/180)*3.1416)+'Características dos Cabos'!$J$27*SIN((J13/180)*3.1416))/$J$9^2)*100</f>
        <v>#DIV/0!</v>
      </c>
      <c r="J22" s="128" t="e">
        <f>((('Características dos Cabos'!$F$27+0.5*'Características dos Cabos'!$F$26)*COS((J13/180)*3.1416)+('Características dos Cabos'!$J$27+0.5*'Características dos Cabos'!$J$26)*SIN((J13/180)*3.1416))/$J$9^2)*150</f>
        <v>#DIV/0!</v>
      </c>
      <c r="K22" s="128" t="e">
        <f>((('Características dos Cabos'!$F$27+'Características dos Cabos'!$F$26)*COS((J13/180)*3.1416)+('Características dos Cabos'!$K$27+'Características dos Cabos'!$K$26)*SIN((J13/180)*3.1416))/$J$9^2)*300</f>
        <v>#DIV/0!</v>
      </c>
      <c r="L22" s="123" t="e">
        <f>((((('Características dos Cabos'!$F$27)/2+'Características dos Cabos'!$F$26)*COS(($M$13/180)*3.1416))+((('Características dos Cabos'!$J$27)/2+'Características dos Cabos'!$J$26)*SIN(($M$13/180)*3.1416)))/(($M$9/2)^2))*100</f>
        <v>#DIV/0!</v>
      </c>
      <c r="M22" s="123" t="e">
        <f>((((('Características dos Cabos'!$F$27)+'Características dos Cabos'!$F$26)*COS(($M$13/180)*3.1416))+((('Características dos Cabos'!$K$27)+'Características dos Cabos'!$K$26)*SIN(($M$13/180)*3.1416)))/(($M$9/2)^2))*100</f>
        <v>#DIV/0!</v>
      </c>
      <c r="AA22" s="2"/>
      <c r="AB22" s="2"/>
    </row>
    <row r="23" spans="1:28" ht="12.75" customHeight="1">
      <c r="A23" s="124" t="s">
        <v>84</v>
      </c>
      <c r="B23" s="125" t="s">
        <v>78</v>
      </c>
      <c r="C23" s="126">
        <f>(('Características dos Cabos'!$G$17*COS((D13/180)*3.1416)+'Características dos Cabos'!$I$17*SIN((D13/180)*3.1416))/$D$9^2)*100</f>
        <v>0.25481524421201895</v>
      </c>
      <c r="D23" s="127">
        <f>((('Características dos Cabos'!$G$17+0.5*'Características dos Cabos'!$G$14)*COS((D13/180)*3.1416)+('Características dos Cabos'!$H$17+0.5*'Características dos Cabos'!$H$14)*SIN((D13/180)*3.1416))/$D$9^2)*150</f>
        <v>1.065251914194</v>
      </c>
      <c r="E23" s="126">
        <f>((('Características dos Cabos'!$G$17+'Características dos Cabos'!$G$14)*COS((D13/180)*3.1416)+('Características dos Cabos'!$J$17+'Características dos Cabos'!$J$14)*SIN((D13/180)*3.1416))/$D$9^2)*300</f>
        <v>3.4153135687145451</v>
      </c>
      <c r="F23" s="126">
        <f>(('Características dos Cabos'!$F$28*COS((D13/180)*3.1416)+'Características dos Cabos'!$H$28*SIN((D13/180)*3.1416))/$D$9^2)*100</f>
        <v>0.24003267860486427</v>
      </c>
      <c r="G23" s="126">
        <f>((('Características dos Cabos'!$F$28+0.5*'Características dos Cabos'!$F$25)*COS((D13/180)*3.1416)+('Características dos Cabos'!$G$28+0.5*'Características dos Cabos'!$G$25)*SIN((D13/180)*3.1416))/$D$9^2)*150</f>
        <v>1.0275571465696418</v>
      </c>
      <c r="H23" s="126">
        <f>((('Características dos Cabos'!$F$28+'Características dos Cabos'!$F$25)*COS((D13/180)*3.1416)+('Características dos Cabos'!$I$28+'Características dos Cabos'!$I$25)*SIN((D13/180)*3.1416))/$D$9^2)*300</f>
        <v>3.3088204561666728</v>
      </c>
      <c r="I23" s="128" t="e">
        <f>(('Características dos Cabos'!$F$28*COS((J13/180)*3.1416)+'Características dos Cabos'!$J$28*SIN((J13/180)*3.1416))/$J$9^2)*100</f>
        <v>#DIV/0!</v>
      </c>
      <c r="J23" s="128" t="e">
        <f>((('Características dos Cabos'!$F$28+0.5*'Características dos Cabos'!$F$25)*COS((J13/180)*3.1416)+('Características dos Cabos'!$J$28+0.5*'Características dos Cabos'!$J$25)*SIN((J13/180)*3.1416))/$J$9^2)*150</f>
        <v>#DIV/0!</v>
      </c>
      <c r="K23" s="128" t="e">
        <f>((('Características dos Cabos'!$F$28+'Características dos Cabos'!$F$25)*COS((J13/180)*3.1416)+('Características dos Cabos'!$K$28+'Características dos Cabos'!$K$25)*SIN((J13/180)*3.1416))/$J$9^2)*300</f>
        <v>#DIV/0!</v>
      </c>
      <c r="L23" s="123" t="e">
        <f>((((('Características dos Cabos'!$F$28)/2+'Características dos Cabos'!$F$25)*COS(($M$13/180)*3.1416))+((('Características dos Cabos'!$J$28)/2+'Características dos Cabos'!$J$25)*SIN(($M$13/180)*3.1416)))/(($M$9/2)^2))*100</f>
        <v>#DIV/0!</v>
      </c>
      <c r="M23" s="123" t="e">
        <f>((((('Características dos Cabos'!$F$28)+'Características dos Cabos'!$F$25)*COS(($M$13/180)*3.1416))+((('Características dos Cabos'!$K$28)+'Características dos Cabos'!$K$25)*SIN(($M$13/180)*3.1416)))/(($M$9/2)^2))*100</f>
        <v>#DIV/0!</v>
      </c>
      <c r="AA23" s="2"/>
      <c r="AB23" s="2"/>
    </row>
    <row r="24" spans="1:28" ht="13.5" customHeight="1">
      <c r="A24" s="124" t="s">
        <v>85</v>
      </c>
      <c r="B24" s="125" t="s">
        <v>86</v>
      </c>
      <c r="C24" s="126">
        <f>(('Características dos Cabos'!$G$17*COS((D13/180)*3.1416)+'Características dos Cabos'!$I$17*SIN((D13/180)*3.1416))/$D$9^2)*100</f>
        <v>0.25481524421201895</v>
      </c>
      <c r="D24" s="127">
        <f>((('Características dos Cabos'!$G$17+0.5*'Características dos Cabos'!$G$15)*COS((D13/180)*3.1416)+('Características dos Cabos'!$H$17+0.5*'Características dos Cabos'!$H$15)*SIN((D13/180)*3.1416))/$D$9^2)*150</f>
        <v>0.84564720178692609</v>
      </c>
      <c r="E24" s="126">
        <f>((('Características dos Cabos'!$G$17+'Características dos Cabos'!$G$15)*COS((D13/180)*3.1416)+('Características dos Cabos'!$J$17+'Características dos Cabos'!$J$15)*SIN((D13/180)*3.1416))/$D$9^2)*300</f>
        <v>2.5368947190862499</v>
      </c>
      <c r="F24" s="126">
        <f>(('Características dos Cabos'!$F$28*COS((D13/180)*3.1416)+'Características dos Cabos'!$H$28*SIN((D13/180)*3.1416))/$D$9^2)*100</f>
        <v>0.24003267860486427</v>
      </c>
      <c r="G24" s="126">
        <f>((('Características dos Cabos'!$F$28+0.5*'Características dos Cabos'!$F$26)*COS((D13/180)*3.1416)+('Características dos Cabos'!$G$28+0.5*'Características dos Cabos'!$G$26)*SIN((D13/180)*3.1416))/$D$9^2)*150</f>
        <v>0.80684788904596083</v>
      </c>
      <c r="H24" s="126">
        <f>((('Características dos Cabos'!$F$28+'Características dos Cabos'!$F$26)*COS((D13/180)*3.1416)+('Características dos Cabos'!$I$28+'Características dos Cabos'!$I$26)*SIN((D13/180)*3.1416))/$D$9^2)*300</f>
        <v>2.4321573132623282</v>
      </c>
      <c r="I24" s="128" t="e">
        <f>(('Características dos Cabos'!$F$28*COS((J13/180)*3.1416)+'Características dos Cabos'!$J$28*SIN((J13/180)*3.1416))/$J$9^2)*100</f>
        <v>#DIV/0!</v>
      </c>
      <c r="J24" s="128" t="e">
        <f>((('Características dos Cabos'!$F$28+0.5*'Características dos Cabos'!$F$26)*COS((J13/180)*3.1416)+('Características dos Cabos'!$J$28+0.5*'Características dos Cabos'!$J$26)*SIN((J13/180)*3.1416))/$J$9^2)*150</f>
        <v>#DIV/0!</v>
      </c>
      <c r="K24" s="128" t="e">
        <f>((('Características dos Cabos'!$F$28+'Características dos Cabos'!$F$26)*COS((J13/180)*3.1416)+('Características dos Cabos'!$K$28+'Características dos Cabos'!$K$26)*SIN((J13/180)*3.1416))/$J$9^2)*300</f>
        <v>#DIV/0!</v>
      </c>
      <c r="L24" s="123" t="e">
        <f>((((('Características dos Cabos'!$F$28)/2+'Características dos Cabos'!$F$26)*COS(($M$13/180)*3.1416))+((('Características dos Cabos'!$J$28)/2+'Características dos Cabos'!$J$26)*SIN(($M$13/180)*3.1416)))/(($M$9/2)^2))*100</f>
        <v>#DIV/0!</v>
      </c>
      <c r="M24" s="123" t="e">
        <f>((((('Características dos Cabos'!$F$28)+'Características dos Cabos'!$F$26)*COS(($M$13/180)*3.1416))+((('Características dos Cabos'!$K$28)+'Características dos Cabos'!$K$26)*SIN(($M$13/180)*3.1416)))/(($M$9/2)^2))*100</f>
        <v>#DIV/0!</v>
      </c>
      <c r="AA24" s="2"/>
      <c r="AB24" s="2"/>
    </row>
    <row r="25" spans="1:28" ht="12.75">
      <c r="A25" s="124" t="s">
        <v>87</v>
      </c>
      <c r="B25" s="125" t="s">
        <v>88</v>
      </c>
      <c r="C25" s="126">
        <f>(('Características dos Cabos'!$G$17*COS((D13/180)*3.1416)+'Características dos Cabos'!$I$17*SIN((D13/180)*3.1416))/$D$9^2)*100</f>
        <v>0.25481524421201895</v>
      </c>
      <c r="D25" s="127">
        <f>((('Características dos Cabos'!$G$17+0.5*'Características dos Cabos'!$G$16)*COS((D13/180)*3.1416)+('Características dos Cabos'!$H$17+0.5*'Características dos Cabos'!$H$16)*SIN((D13/180)*3.1416))/$D$9^2)*150</f>
        <v>0.70649517577452536</v>
      </c>
      <c r="E25" s="126">
        <f>((('Características dos Cabos'!$G$17+'Características dos Cabos'!$G$16)*COS((D13/180)*3.1416)+('Características dos Cabos'!$J$17+'Características dos Cabos'!$J$16)*SIN((D13/180)*3.1416))/$D$9^2)*300</f>
        <v>1.9494171790847474</v>
      </c>
      <c r="F25" s="126">
        <f>(('Características dos Cabos'!$F$28*COS((D13/180)*3.1416)+'Características dos Cabos'!$H$28*SIN((D13/180)*3.1416))/$D$9^2)*100</f>
        <v>0.24003267860486427</v>
      </c>
      <c r="G25" s="126">
        <f>((('Características dos Cabos'!$F$28+0.5*'Características dos Cabos'!$F$27)*COS((D13/180)*3.1416)+('Características dos Cabos'!$G$28+0.5*'Características dos Cabos'!$G$27)*SIN((D13/180)*3.1416))/$D$9^2)*150</f>
        <v>0.66911151701718974</v>
      </c>
      <c r="H25" s="126">
        <f>((('Características dos Cabos'!$F$28+'Características dos Cabos'!$F$27)*COS((D13/180)*3.1416)+('Características dos Cabos'!$I$28+'Características dos Cabos'!$I$27)*SIN((D13/180)*3.1416))/$D$9^2)*300</f>
        <v>1.8749761990849609</v>
      </c>
      <c r="I25" s="128" t="e">
        <f>(('Características dos Cabos'!$F$28*COS((J13/180)*3.1416)+'Características dos Cabos'!$J$28*SIN((J13/180)*3.1416))/$J$9^2)*100</f>
        <v>#DIV/0!</v>
      </c>
      <c r="J25" s="128" t="e">
        <f>((('Características dos Cabos'!$F$28+0.5*'Características dos Cabos'!$F$27)*COS((J13/180)*3.1416)+('Características dos Cabos'!$J$28+0.5*'Características dos Cabos'!$J$27)*SIN((J13/180)*3.1416))/$J$9^2)*150</f>
        <v>#DIV/0!</v>
      </c>
      <c r="K25" s="128" t="e">
        <f>((('Características dos Cabos'!$F$28+'Características dos Cabos'!$F$27)*COS((J13/180)*3.1416)+('Características dos Cabos'!$K$28+'Características dos Cabos'!$K$27)*SIN((J13/180)*3.1416))/$J$9^2)*300</f>
        <v>#DIV/0!</v>
      </c>
      <c r="L25" s="123" t="e">
        <f>((((('Características dos Cabos'!$F$28)/2+'Características dos Cabos'!$F$27)*COS(($M$13/180)*3.1416))+((('Características dos Cabos'!$J$28)/2+'Características dos Cabos'!$J$27)*SIN(($M$13/180)*3.1416)))/(($M$9/2)^2))*100</f>
        <v>#DIV/0!</v>
      </c>
      <c r="M25" s="123" t="e">
        <f>((((('Características dos Cabos'!$F$28)+'Características dos Cabos'!$F$27)*COS(($M$13/180)*3.1416))+((('Características dos Cabos'!$K$28)+'Características dos Cabos'!$K$27)*SIN(($M$13/180)*3.1416)))/(($M$9/2)^2))*100</f>
        <v>#DIV/0!</v>
      </c>
      <c r="AA25" s="2"/>
      <c r="AB25" s="2"/>
    </row>
    <row r="26" spans="1:28" ht="12.75">
      <c r="A26" s="124" t="s">
        <v>89</v>
      </c>
      <c r="B26" s="125" t="s">
        <v>80</v>
      </c>
      <c r="C26" s="126">
        <f>(('Características dos Cabos'!$G$18*COS((D13/180)*3.1416)+'Características dos Cabos'!$I$18*SIN((D13/180)*3.1416))/$D$9^2)*100</f>
        <v>0.17869318996270606</v>
      </c>
      <c r="D26" s="127">
        <f>((('Características dos Cabos'!$G$18+0.5*'Características dos Cabos'!$G$14)*COS((D13/180)*3.1416)+('Características dos Cabos'!$H$18+0.5*'Características dos Cabos'!$H$14)*SIN((D13/180)*3.1416))/$D$9^2)*150</f>
        <v>0.95109970225598239</v>
      </c>
      <c r="E26" s="126">
        <f>((('Características dos Cabos'!$G$18+'Características dos Cabos'!$G$14)*COS((D13/180)*3.1416)+('Características dos Cabos'!$J$18+'Características dos Cabos'!$J$14)*SIN((D13/180)*3.1416))/$D$9^2)*300</f>
        <v>3.1870091448385089</v>
      </c>
      <c r="F26" s="126">
        <f>(('Características dos Cabos'!$F$29*COS((D13/180)*3.1416)+'Características dos Cabos'!$H$29*SIN((D13/180)*3.1416))/$D$9^2)*100</f>
        <v>0.17956941210876362</v>
      </c>
      <c r="G26" s="126">
        <f>((('Características dos Cabos'!$F$29+0.5*'Características dos Cabos'!$F$25)*COS((D13/180)*3.1416)+('Características dos Cabos'!$G$29+0.5*'Características dos Cabos'!$G$25)*SIN((D13/180)*3.1416))/$D$9^2)*150</f>
        <v>0.93683137738953903</v>
      </c>
      <c r="H26" s="126">
        <f>((('Características dos Cabos'!$F$29+'Características dos Cabos'!$F$25)*COS((D13/180)*3.1416)+('Características dos Cabos'!$I$29+'Características dos Cabos'!$I$25)*SIN((D13/180)*3.1416))/$D$9^2)*300</f>
        <v>3.1273689178064665</v>
      </c>
      <c r="I26" s="128" t="e">
        <f>(('Características dos Cabos'!$F$29*COS((J13/180)*3.1416)+'Características dos Cabos'!$J$29*SIN((J13/180)*3.1416))/$J$9^2)*100</f>
        <v>#DIV/0!</v>
      </c>
      <c r="J26" s="128" t="e">
        <f>((('Características dos Cabos'!$F$29+0.5*'Características dos Cabos'!$F$25)*COS((J13/180)*3.1416)+('Características dos Cabos'!$J$29+0.5*'Características dos Cabos'!$J$25)*SIN((J13/180)*3.1416))/$J$9^2)*150</f>
        <v>#DIV/0!</v>
      </c>
      <c r="K26" s="128" t="e">
        <f>((('Características dos Cabos'!$F$29+'Características dos Cabos'!$F$25)*COS((J13/180)*3.1416)+('Características dos Cabos'!$K$29+'Características dos Cabos'!$K$25)*SIN((J13/180)*3.1416))/$J$9^2)*300</f>
        <v>#DIV/0!</v>
      </c>
      <c r="L26" s="123" t="e">
        <f>((((('Características dos Cabos'!$F$29)/2+'Características dos Cabos'!$F$25)*COS(($M$13/180)*3.1416))+((('Características dos Cabos'!$J$29)/2+'Características dos Cabos'!$J$25)*SIN(($M$13/180)*3.1416)))/(($M$9/2)^2))*100</f>
        <v>#DIV/0!</v>
      </c>
      <c r="M26" s="123" t="e">
        <f>((((('Características dos Cabos'!$F$29)+'Características dos Cabos'!$F$25)*COS(($M$13/180)*3.1416))+((('Características dos Cabos'!$K$29)+'Características dos Cabos'!$K$25)*SIN(($M$13/180)*3.1416)))/(($M$9/2)^2))*100</f>
        <v>#DIV/0!</v>
      </c>
      <c r="AA26" s="2"/>
      <c r="AB26" s="2"/>
    </row>
    <row r="27" spans="1:28" ht="12.75">
      <c r="A27" s="124" t="s">
        <v>91</v>
      </c>
      <c r="B27" s="125" t="s">
        <v>92</v>
      </c>
      <c r="C27" s="126">
        <f>(('Características dos Cabos'!$G$18*COS((D13/180)*3.1416)+'Características dos Cabos'!$I$18*SIN((D13/180)*3.1416))/$D$9^2)*100</f>
        <v>0.17869318996270606</v>
      </c>
      <c r="D27" s="127">
        <f>((('Características dos Cabos'!$G$18+0.5*'Características dos Cabos'!$G$15)*COS((D13/180)*3.1416)+('Características dos Cabos'!$H$18+0.5*'Características dos Cabos'!$H$15)*SIN((D13/180)*3.1416))/$D$9^2)*150</f>
        <v>0.73149498984890871</v>
      </c>
      <c r="E27" s="126">
        <f>((('Características dos Cabos'!$G$18+'Características dos Cabos'!$G$15)*COS((D13/180)*3.1416)+('Características dos Cabos'!$J$18+'Características dos Cabos'!$J$15)*SIN((D13/180)*3.1416))/$D$9^2)*300</f>
        <v>2.3085902952102151</v>
      </c>
      <c r="F27" s="126">
        <f>(('Características dos Cabos'!$F$29*COS((D13/180)*3.1416)+'Características dos Cabos'!$H$29*SIN((D13/180)*3.1416))/$D$9^2)*100</f>
        <v>0.17956941210876362</v>
      </c>
      <c r="G27" s="126">
        <f>((('Características dos Cabos'!$F$29+0.5*'Características dos Cabos'!$F$26)*COS((D13/180)*3.1416)+('Características dos Cabos'!$G$29+0.5*'Características dos Cabos'!$G$26)*SIN((D13/180)*3.1416))/$D$9^2)*150</f>
        <v>0.71612211986585794</v>
      </c>
      <c r="H27" s="126">
        <f>((('Características dos Cabos'!$F$29+'Características dos Cabos'!$F$26)*COS((D13/180)*3.1416)+('Características dos Cabos'!$I$29+'Características dos Cabos'!$I$26)*SIN((D13/180)*3.1416))/$D$9^2)*300</f>
        <v>2.2507057749021224</v>
      </c>
      <c r="I27" s="128" t="e">
        <f>(('Características dos Cabos'!$F$29*COS((J13/180)*3.1416)+'Características dos Cabos'!$J$29*SIN((J13/180)*3.1416))/$J$9^2)*100</f>
        <v>#DIV/0!</v>
      </c>
      <c r="J27" s="128" t="e">
        <f>((('Características dos Cabos'!$F$29+0.5*'Características dos Cabos'!$F$26)*COS((J13/180)*3.1416)+('Características dos Cabos'!$J$29+0.5*'Características dos Cabos'!$J$26)*SIN((J13/180)*3.1416))/$J$9^2)*150</f>
        <v>#DIV/0!</v>
      </c>
      <c r="K27" s="128" t="e">
        <f>((('Características dos Cabos'!$F$29+'Características dos Cabos'!$F$26)*COS((J13/180)*3.1416)+('Características dos Cabos'!$K$29+'Características dos Cabos'!$K$26)*SIN((J13/180)*3.1416))/$J$9^2)*300</f>
        <v>#DIV/0!</v>
      </c>
      <c r="L27" s="123" t="e">
        <f>((((('Características dos Cabos'!$F$29)/2+'Características dos Cabos'!$F$26)*COS(($M$13/180)*3.1416))+((('Características dos Cabos'!$J$29)/2+'Características dos Cabos'!$J$26)*SIN(($M$13/180)*3.1416)))/(($M$9/2)^2))*100</f>
        <v>#DIV/0!</v>
      </c>
      <c r="M27" s="123" t="e">
        <f>((((('Características dos Cabos'!$F$29)+'Características dos Cabos'!$F$26)*COS(($M$13/180)*3.1416))+((('Características dos Cabos'!$K$29)+'Características dos Cabos'!$K$26)*SIN(($M$13/180)*3.1416)))/(($M$9/2)^2))*100</f>
        <v>#DIV/0!</v>
      </c>
      <c r="AA27" s="2"/>
      <c r="AB27" s="2"/>
    </row>
    <row r="28" spans="1:28" ht="12.75">
      <c r="A28" s="124" t="s">
        <v>93</v>
      </c>
      <c r="B28" s="125" t="s">
        <v>94</v>
      </c>
      <c r="C28" s="126">
        <f>(('Características dos Cabos'!$G$18*COS((D13/180)*3.1416)+'Características dos Cabos'!$I$18*SIN((D13/180)*3.1416))/$D$9^2)*100</f>
        <v>0.17869318996270606</v>
      </c>
      <c r="D28" s="127">
        <f>((('Características dos Cabos'!$G$18+0.5*'Características dos Cabos'!$G$16)*COS((D13/180)*3.1416)+('Características dos Cabos'!$H$18+0.5*'Características dos Cabos'!$H$16)*SIN((D13/180)*3.1416))/$D$9^2)*150</f>
        <v>0.59234296383650786</v>
      </c>
      <c r="E28" s="126">
        <f>((('Características dos Cabos'!$G$18+'Características dos Cabos'!$G$16)*COS((D13/180)*3.1416)+('Características dos Cabos'!$J$18+'Características dos Cabos'!$J$16)*SIN((D13/180)*3.1416))/$D$9^2)*300</f>
        <v>1.7211127552087127</v>
      </c>
      <c r="F28" s="126">
        <f>(('Características dos Cabos'!$F$29*COS((D13/180)*3.1416)+'Características dos Cabos'!$H$29*SIN((D13/180)*3.1416))/$D$9^2)*100</f>
        <v>0.17956941210876362</v>
      </c>
      <c r="G28" s="126">
        <f>((('Características dos Cabos'!$F$29+0.5*'Características dos Cabos'!$F$27)*COS((D13/180)*3.1416)+('Características dos Cabos'!$G$29+0.5*'Características dos Cabos'!$G$27)*SIN((D13/180)*3.1416))/$D$9^2)*150</f>
        <v>0.57838574783708696</v>
      </c>
      <c r="H28" s="126">
        <f>((('Características dos Cabos'!$F$29+'Características dos Cabos'!$F$27)*COS((D13/180)*3.1416)+('Características dos Cabos'!$I$29+'Características dos Cabos'!$I$27)*SIN((D13/180)*3.1416))/$D$9^2)*300</f>
        <v>1.6935246607247552</v>
      </c>
      <c r="I28" s="128" t="e">
        <f>(('Características dos Cabos'!$F$29*COS((J13/180)*3.1416)+'Características dos Cabos'!$J$29*SIN((J13/180)*3.1416))/$J$9^2)*100</f>
        <v>#DIV/0!</v>
      </c>
      <c r="J28" s="128" t="e">
        <f>((('Características dos Cabos'!$F$29+0.5*'Características dos Cabos'!$F$27)*COS((J13/180)*3.1416)+('Características dos Cabos'!$J$29+0.5*'Características dos Cabos'!$J$27)*SIN((J13/180)*3.1416))/$J$9^2)*150</f>
        <v>#DIV/0!</v>
      </c>
      <c r="K28" s="128" t="e">
        <f>((('Características dos Cabos'!$F$29+'Características dos Cabos'!$F$27)*COS((J13/180)*3.1416)+('Características dos Cabos'!$K$29+'Características dos Cabos'!$K$27)*SIN((J13/180)*3.1416))/$J$9^2)*300</f>
        <v>#DIV/0!</v>
      </c>
      <c r="L28" s="123" t="e">
        <f>((((('Características dos Cabos'!$F$29)/2+'Características dos Cabos'!$F$27)*COS(($M$13/180)*3.1416))+((('Características dos Cabos'!$J$29)/2+'Características dos Cabos'!$J$27)*SIN(($M$13/180)*3.1416)))/(($M$9/2)^2))*100</f>
        <v>#DIV/0!</v>
      </c>
      <c r="M28" s="123" t="e">
        <f>((((('Características dos Cabos'!$F$29)+'Características dos Cabos'!$F$27)*COS(($M$13/180)*3.1416))+((('Características dos Cabos'!$K$29)+'Características dos Cabos'!$K$27)*SIN(($M$13/180)*3.1416)))/(($M$9/2)^2))*100</f>
        <v>#DIV/0!</v>
      </c>
      <c r="AA28" s="2"/>
      <c r="AB28" s="2"/>
    </row>
    <row r="29" spans="1:28" ht="13.5" thickBot="1">
      <c r="A29" s="129" t="s">
        <v>95</v>
      </c>
      <c r="B29" s="130" t="s">
        <v>38</v>
      </c>
      <c r="C29" s="131">
        <f>(('Características dos Cabos'!$G$18*COS((D13/180)*3.1416)+'Características dos Cabos'!$I$18*SIN((D13/180)*3.1416))/$D$9^2)*100</f>
        <v>0.17869318996270606</v>
      </c>
      <c r="D29" s="132">
        <f>((('Características dos Cabos'!$G$18+0.5*'Características dos Cabos'!$G$17)*COS((D13/180)*3.1416)+('Características dos Cabos'!$H$18+0.5*'Características dos Cabos'!$H$17)*SIN((D13/180)*3.1416))/$D$9^2)*150</f>
        <v>0.46779466016960503</v>
      </c>
      <c r="E29" s="131">
        <f>((('Características dos Cabos'!$G$18+'Características dos Cabos'!$G$17)*COS((D13/180)*3.1416)+('Características dos Cabos'!$J$18+'Características dos Cabos'!$J$17)*SIN((D13/180)*3.1416))/$D$9^2)*300</f>
        <v>1.2537889764930001</v>
      </c>
      <c r="F29" s="131">
        <f>(('Características dos Cabos'!$F$29*COS((D13/180)*3.1416)+'Características dos Cabos'!$H$29*SIN((D13/180)*3.1416))/$D$9^2)*100</f>
        <v>0.17956941210876362</v>
      </c>
      <c r="G29" s="131">
        <f>((('Características dos Cabos'!$F$29+0.5*'Características dos Cabos'!$F$28)*COS((D13/180)*3.1416)+('Características dos Cabos'!$G$29+0.5*'Características dos Cabos'!$G$28)*SIN((D13/180)*3.1416))/$D$9^2)*150</f>
        <v>0.45800663446534934</v>
      </c>
      <c r="H29" s="131">
        <f>((('Características dos Cabos'!$F$29+'Características dos Cabos'!$F$28)*COS((D13/180)*3.1416)+('Características dos Cabos'!$I$29+'Características dos Cabos'!$I$28)*SIN((D13/180)*3.1416))/$D$9^2)*300</f>
        <v>1.2120699461097086</v>
      </c>
      <c r="I29" s="133" t="e">
        <f>(('Características dos Cabos'!$F$29*COS((J13/180)*3.1416)+'Características dos Cabos'!$J$29*SIN((J13/180)*3.1416))/$J$9^2)*100</f>
        <v>#DIV/0!</v>
      </c>
      <c r="J29" s="133" t="e">
        <f>((('Características dos Cabos'!$F$29+0.5*'Características dos Cabos'!$F$28)*COS((J13/180)*3.1416)+('Características dos Cabos'!$J$29+0.5*'Características dos Cabos'!$J$28)*SIN((J13/180)*3.1416))/$J$9^2)*150</f>
        <v>#DIV/0!</v>
      </c>
      <c r="K29" s="133" t="e">
        <f>((('Características dos Cabos'!$F$29+'Características dos Cabos'!$F$28)*COS((J13/180)*3.1416)+('Características dos Cabos'!$K$29+'Características dos Cabos'!$K$28)*SIN((J13/180)*3.1416))/$J$9^2)*300</f>
        <v>#DIV/0!</v>
      </c>
      <c r="L29" s="134" t="e">
        <f>((((('Características dos Cabos'!$F$29)/2+'Características dos Cabos'!$F$28)*COS(($M$13/180)*3.1416))+((('Características dos Cabos'!$J$28)/2+'Características dos Cabos'!$J$28)*SIN(($M$13/180)*3.1416)))/(($M$9/2)^2))*100</f>
        <v>#DIV/0!</v>
      </c>
      <c r="M29" s="134" t="e">
        <f>((((('Características dos Cabos'!$F$29)+'Características dos Cabos'!$F$28)*COS(($M$13/180)*3.1416))+((('Características dos Cabos'!$K$29)+'Características dos Cabos'!$K$28)*SIN(($M$13/180)*3.1416)))/(($M$9/2)^2))*100</f>
        <v>#DIV/0!</v>
      </c>
      <c r="AA29" s="2"/>
      <c r="AB29" s="2"/>
    </row>
    <row r="30" spans="1:13" ht="13.5" customHeight="1">
      <c r="A30" s="2"/>
      <c r="B30" s="2"/>
      <c r="C30" s="2"/>
      <c r="D30" s="2"/>
      <c r="E30" s="2"/>
      <c r="F30" s="2"/>
      <c r="G30" s="2"/>
      <c r="H30" s="2"/>
      <c r="I30" s="135"/>
      <c r="J30" s="135"/>
      <c r="K30" s="2"/>
      <c r="L30" s="2"/>
      <c r="M30" s="2"/>
    </row>
    <row r="31" spans="1:13" ht="12.75" customHeight="1">
      <c r="A31" s="729"/>
      <c r="B31" s="729"/>
      <c r="C31" s="729"/>
      <c r="D31" s="11"/>
      <c r="E31" s="9"/>
      <c r="F31" s="2"/>
      <c r="G31" s="2"/>
      <c r="H31" s="2"/>
      <c r="I31" s="2"/>
      <c r="J31" s="2"/>
      <c r="K31" s="2"/>
      <c r="L31" s="2"/>
      <c r="M31" s="2"/>
    </row>
    <row r="32" spans="1:13" ht="12.75">
      <c r="A32" s="729"/>
      <c r="B32" s="729"/>
      <c r="C32" s="729"/>
      <c r="D32" s="11"/>
      <c r="E32" s="8"/>
      <c r="F32" s="2"/>
      <c r="G32" s="2"/>
      <c r="H32" s="2"/>
      <c r="I32" s="2"/>
      <c r="J32" s="2"/>
      <c r="K32" s="2"/>
      <c r="L32" s="2"/>
      <c r="M32" s="2"/>
    </row>
    <row r="33" spans="6:6" ht="12.75">
      <c r="F33" s="1"/>
    </row>
    <row r="34" spans="6:6" ht="12.75">
      <c r="F34" s="339"/>
    </row>
    <row r="35" spans="6:6" ht="12.75">
      <c r="F35" s="1"/>
    </row>
    <row r="36" spans="6:6" ht="12.75">
      <c r="F36" s="12"/>
    </row>
    <row r="37" spans="6:6" ht="12.75">
      <c r="F37" s="12"/>
    </row>
    <row r="38" spans="6:6" ht="12.75">
      <c r="F38" s="12"/>
    </row>
    <row r="39" spans="6:6" ht="12.75">
      <c r="F39" s="12"/>
    </row>
    <row r="40" spans="6:6" ht="12.75">
      <c r="F40" s="12"/>
    </row>
    <row r="41" spans="6:6" ht="12.75">
      <c r="F41" s="12"/>
    </row>
    <row r="42" spans="6:6" ht="12.75">
      <c r="F42" s="12"/>
    </row>
    <row r="43" spans="6:6" ht="12.75">
      <c r="F43" s="12"/>
    </row>
    <row r="44" spans="6:6" ht="12.75">
      <c r="F44" s="12"/>
    </row>
    <row r="45" spans="6:6" ht="12.75">
      <c r="F45" s="12"/>
    </row>
    <row r="46" spans="6:6" ht="12.75">
      <c r="F46" s="12"/>
    </row>
    <row r="47" spans="6:6" ht="13.5" thickBot="1">
      <c r="F47" s="12"/>
    </row>
  </sheetData>
  <mergeCells count="16">
    <mergeCell ref="A31:C31"/>
    <mergeCell ref="A32:C32"/>
    <mergeCell ref="C14:D14"/>
    <mergeCell ref="I14:J14"/>
    <mergeCell ref="L14:M14"/>
    <mergeCell ref="C15:E15"/>
    <mergeCell ref="F15:M15"/>
    <mergeCell ref="A16:A17"/>
    <mergeCell ref="I16:J16"/>
    <mergeCell ref="I8:J8"/>
    <mergeCell ref="L8:M8"/>
    <mergeCell ref="A2:M2"/>
    <mergeCell ref="A3:M3"/>
    <mergeCell ref="A5:M5"/>
    <mergeCell ref="C7:H7"/>
    <mergeCell ref="I7:M7"/>
  </mergeCells>
  <printOptions horizontalCentered="1"/>
  <pageMargins left="0.393700787401575" right="0.393700787401575" top="0.393700787401575" bottom="0.393700787401575" header="0.511811023622047" footer="0"/>
  <pageSetup horizontalDpi="300" verticalDpi="300" orientation="landscape" paperSize="9" r:id="rId2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R197"/>
  <sheetViews>
    <sheetView showGridLines="0" showZeros="0" zoomScale="80" zoomScaleNormal="80" zoomScaleSheetLayoutView="80" workbookViewId="0" topLeftCell="A1">
      <selection pane="topLeft" activeCell="J11" sqref="J11"/>
    </sheetView>
  </sheetViews>
  <sheetFormatPr defaultColWidth="9.28428571428571" defaultRowHeight="12.75"/>
  <cols>
    <col min="1" max="2" width="3.42857142857143" customWidth="1"/>
    <col min="3" max="3" width="14.2857142857143" customWidth="1"/>
    <col min="4" max="4" width="11.1428571428571" customWidth="1"/>
    <col min="5" max="5" width="13.2857142857143" customWidth="1"/>
    <col min="6" max="6" width="4.14285714285714" hidden="1" customWidth="1"/>
    <col min="7" max="7" width="16.7142857142857" customWidth="1"/>
    <col min="8" max="8" width="10.2857142857143" customWidth="1"/>
    <col min="9" max="9" width="2.71428571428571" hidden="1" customWidth="1"/>
    <col min="10" max="10" width="11.2857142857143" customWidth="1"/>
    <col min="11" max="11" width="12.2857142857143" customWidth="1"/>
    <col min="12" max="12" width="10.7142857142857" customWidth="1"/>
    <col min="13" max="13" width="9.28571428571429" style="1" hidden="1" customWidth="1"/>
    <col min="14" max="14" width="13.5714285714286" customWidth="1"/>
    <col min="15" max="15" width="13.7142857142857" customWidth="1"/>
    <col min="16" max="16" width="12.5714285714286" customWidth="1"/>
    <col min="17" max="17" width="16.7142857142857" customWidth="1"/>
    <col min="18" max="18" width="13.2857142857143" hidden="1" customWidth="1"/>
    <col min="19" max="19" width="13.7142857142857" hidden="1" customWidth="1"/>
    <col min="20" max="20" width="11.7142857142857" customWidth="1"/>
    <col min="21" max="22" width="9.28571428571429" hidden="1" customWidth="1"/>
    <col min="23" max="23" width="10.2857142857143" hidden="1" customWidth="1"/>
    <col min="24" max="24" width="11.5714285714286" hidden="1" customWidth="1"/>
    <col min="25" max="25" width="17.7142857142857" customWidth="1"/>
    <col min="26" max="26" width="1.85714285714286" style="463" hidden="1" customWidth="1"/>
    <col min="27" max="27" width="2.28571428571429" style="463" hidden="1" customWidth="1"/>
    <col min="28" max="28" width="3.57142857142857" style="463" hidden="1" customWidth="1"/>
    <col min="29" max="29" width="2.42857142857143" style="463" hidden="1" customWidth="1"/>
    <col min="30" max="30" width="6" style="393" hidden="1" customWidth="1"/>
    <col min="31" max="31" width="1.42857142857143" style="463" hidden="1" customWidth="1"/>
    <col min="32" max="32" width="2" style="463" hidden="1" customWidth="1"/>
    <col min="33" max="33" width="1" style="463" hidden="1" customWidth="1"/>
    <col min="34" max="34" width="18.5714285714286" style="393" hidden="1" customWidth="1"/>
    <col min="35" max="35" width="15.5714285714286" style="393" customWidth="1"/>
    <col min="36" max="36" width="12.4285714285714" style="393" customWidth="1"/>
    <col min="37" max="37" width="15" style="393" customWidth="1"/>
    <col min="38" max="38" width="16.7142857142857" style="393" customWidth="1"/>
    <col min="39" max="39" width="13.5714285714286" style="393" customWidth="1"/>
    <col min="40" max="40" width="11.4285714285714" style="393" customWidth="1"/>
    <col min="41" max="41" width="9.85714285714286" style="393" hidden="1" customWidth="1"/>
    <col min="42" max="42" width="12.1428571428571" style="393" hidden="1" customWidth="1"/>
    <col min="43" max="43" width="12.5714285714286" style="393" hidden="1" customWidth="1"/>
    <col min="44" max="44" width="15" style="393" hidden="1" customWidth="1"/>
    <col min="45" max="45" width="11.4285714285714" style="393" customWidth="1"/>
    <col min="46" max="73" width="9.28571428571429" customWidth="1"/>
    <col min="16384" max="16384" width="15.7142857142857" customWidth="1"/>
  </cols>
  <sheetData>
    <row r="1" spans="1:27" ht="18">
      <c r="A1" s="591"/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AA1" s="463">
        <v>0</v>
      </c>
    </row>
    <row r="2" spans="1:25" ht="20.25">
      <c r="A2" s="632" t="s">
        <v>4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</row>
    <row r="4" ht="12" customHeight="1"/>
    <row r="5" spans="1:36" ht="20.25">
      <c r="A5" s="632" t="s">
        <v>101</v>
      </c>
      <c r="B5" s="632"/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2"/>
      <c r="V5" s="632"/>
      <c r="W5" s="632"/>
      <c r="X5" s="632"/>
      <c r="Y5" s="632"/>
      <c r="AJ5" s="394"/>
    </row>
    <row r="6" spans="1:36" ht="12" customHeight="1" thickBot="1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AJ6" s="394"/>
    </row>
    <row r="7" spans="1:25" ht="16.5" customHeight="1">
      <c r="A7" s="2"/>
      <c r="B7" s="2"/>
      <c r="C7" s="327" t="s">
        <v>6</v>
      </c>
      <c r="D7" s="797"/>
      <c r="E7" s="798"/>
      <c r="F7" s="798"/>
      <c r="G7" s="799"/>
      <c r="H7" s="179" t="s">
        <v>7</v>
      </c>
      <c r="I7" s="800"/>
      <c r="J7" s="800"/>
      <c r="K7" s="800"/>
      <c r="L7" s="800"/>
      <c r="M7" s="800"/>
      <c r="N7" s="800"/>
      <c r="O7" s="181" t="s">
        <v>8</v>
      </c>
      <c r="P7" s="800"/>
      <c r="Q7" s="800"/>
      <c r="R7" s="800"/>
      <c r="S7" s="800"/>
      <c r="T7" s="800"/>
      <c r="U7" s="800"/>
      <c r="V7" s="800"/>
      <c r="W7" s="800"/>
      <c r="X7" s="800"/>
      <c r="Y7" s="801"/>
    </row>
    <row r="8" spans="1:34" ht="15" customHeight="1" thickBot="1">
      <c r="A8" s="2"/>
      <c r="B8" s="2"/>
      <c r="C8" s="328" t="s">
        <v>9</v>
      </c>
      <c r="D8" s="791"/>
      <c r="E8" s="792"/>
      <c r="F8" s="792"/>
      <c r="G8" s="793"/>
      <c r="H8" s="180" t="s">
        <v>102</v>
      </c>
      <c r="I8" s="464"/>
      <c r="J8" s="794"/>
      <c r="K8" s="794"/>
      <c r="L8" s="794"/>
      <c r="M8" s="794"/>
      <c r="N8" s="794"/>
      <c r="O8" s="329" t="s">
        <v>11</v>
      </c>
      <c r="P8" s="794"/>
      <c r="Q8" s="794"/>
      <c r="R8" s="794"/>
      <c r="S8" s="794"/>
      <c r="T8" s="794"/>
      <c r="U8" s="794"/>
      <c r="V8" s="794"/>
      <c r="W8" s="794"/>
      <c r="X8" s="794"/>
      <c r="Y8" s="795"/>
      <c r="AH8" s="420"/>
    </row>
    <row r="9" spans="1:34" ht="5.25" customHeight="1" thickBo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171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465"/>
      <c r="AA9" s="465"/>
      <c r="AB9" s="465"/>
      <c r="AC9" s="465"/>
      <c r="AD9" s="394"/>
      <c r="AE9" s="465"/>
      <c r="AF9" s="465"/>
      <c r="AH9" s="420"/>
    </row>
    <row r="10" spans="1:34" ht="39.95" customHeight="1" thickBot="1">
      <c r="A10" s="2"/>
      <c r="B10" s="2"/>
      <c r="C10" s="804" t="s">
        <v>12</v>
      </c>
      <c r="D10" s="805"/>
      <c r="E10" s="805"/>
      <c r="F10" s="806"/>
      <c r="G10" s="431" t="s">
        <v>206</v>
      </c>
      <c r="H10" s="680" t="s">
        <v>14</v>
      </c>
      <c r="I10" s="675"/>
      <c r="J10" s="676"/>
      <c r="K10" s="681" t="s">
        <v>104</v>
      </c>
      <c r="L10" s="676"/>
      <c r="M10" s="351"/>
      <c r="N10" s="679" t="s">
        <v>33</v>
      </c>
      <c r="O10" s="679"/>
      <c r="P10" s="679" t="s">
        <v>17</v>
      </c>
      <c r="Q10" s="679"/>
      <c r="R10" s="229"/>
      <c r="S10" s="229"/>
      <c r="T10" s="680" t="s">
        <v>18</v>
      </c>
      <c r="U10" s="675"/>
      <c r="V10" s="675"/>
      <c r="W10" s="675"/>
      <c r="X10" s="675"/>
      <c r="Y10" s="676"/>
      <c r="Z10" s="466"/>
      <c r="AA10" s="467"/>
      <c r="AB10" s="468"/>
      <c r="AH10" s="420"/>
    </row>
    <row r="11" spans="1:34" ht="13.5" thickBot="1">
      <c r="A11" s="2"/>
      <c r="B11" s="2"/>
      <c r="C11" s="807"/>
      <c r="D11" s="796"/>
      <c r="E11" s="796"/>
      <c r="F11" s="808"/>
      <c r="G11" s="469">
        <v>1.82</v>
      </c>
      <c r="I11" s="2"/>
      <c r="J11" s="470">
        <v>5</v>
      </c>
      <c r="L11" s="471" t="s">
        <v>121</v>
      </c>
      <c r="M11" s="171"/>
      <c r="N11" s="2"/>
      <c r="O11" s="227">
        <f>IF(OR(H19="",H33=""),"",SUM(F19:G194))</f>
        <v>226.25858025000014</v>
      </c>
      <c r="P11" s="155" t="s">
        <v>19</v>
      </c>
      <c r="Q11" s="228">
        <f>IF(T20="","",MAX(T20:T195))</f>
        <v>0.40989389657915692</v>
      </c>
      <c r="R11" s="2"/>
      <c r="S11" s="2"/>
      <c r="T11" s="171" t="s">
        <v>19</v>
      </c>
      <c r="U11" s="171"/>
      <c r="V11" s="171"/>
      <c r="W11" s="1"/>
      <c r="X11" s="172"/>
      <c r="Y11" s="173">
        <f>IF(P20="","",MAX(P20:P195))</f>
        <v>0.73504774649675442</v>
      </c>
      <c r="Z11" s="472"/>
      <c r="AA11" s="473"/>
      <c r="AB11" s="474"/>
      <c r="AH11" s="420"/>
    </row>
    <row r="12" spans="1:34" ht="13.5" thickBot="1">
      <c r="A12" s="2"/>
      <c r="B12" s="2"/>
      <c r="C12" s="677" t="s">
        <v>106</v>
      </c>
      <c r="D12" s="678"/>
      <c r="E12" s="671" t="s">
        <v>21</v>
      </c>
      <c r="F12" s="671"/>
      <c r="G12" s="671"/>
      <c r="H12" s="667" t="s">
        <v>107</v>
      </c>
      <c r="I12" s="668"/>
      <c r="J12" s="669"/>
      <c r="K12" s="667" t="s">
        <v>15</v>
      </c>
      <c r="L12" s="669"/>
      <c r="M12" s="171"/>
      <c r="N12" s="671" t="s">
        <v>16</v>
      </c>
      <c r="O12" s="672"/>
      <c r="P12" s="155" t="s">
        <v>25</v>
      </c>
      <c r="Q12" s="170" t="str">
        <f>IF(Q11="","",VLOOKUP(Q11,T20:AA195,8,FALSE))</f>
        <v>23</v>
      </c>
      <c r="R12" s="2"/>
      <c r="S12" s="2"/>
      <c r="T12" s="171" t="s">
        <v>25</v>
      </c>
      <c r="U12" s="171"/>
      <c r="V12" s="171"/>
      <c r="W12" s="1"/>
      <c r="X12" s="174"/>
      <c r="Y12" s="170" t="str">
        <f>IF(Y11="","",VLOOKUP(Y11,P20:AA195,12,FALSE))</f>
        <v>28</v>
      </c>
      <c r="Z12" s="472"/>
      <c r="AA12" s="475" t="s">
        <v>108</v>
      </c>
      <c r="AB12" s="476" t="s">
        <v>109</v>
      </c>
      <c r="AH12" s="420"/>
    </row>
    <row r="13" spans="1:34" ht="13.5" customHeight="1" thickBot="1">
      <c r="A13" s="2"/>
      <c r="B13" s="2"/>
      <c r="C13" s="156" t="s">
        <v>28</v>
      </c>
      <c r="D13" s="471">
        <v>380</v>
      </c>
      <c r="E13" s="2"/>
      <c r="G13" s="477">
        <v>0.92</v>
      </c>
      <c r="I13" s="2"/>
      <c r="J13" s="478" t="s">
        <v>27</v>
      </c>
      <c r="L13" s="442">
        <f>IF(G15="","",(0.7*(G15)^2)+(0.3*G15))</f>
        <v>0.23200000000000001</v>
      </c>
      <c r="M13" s="171"/>
      <c r="O13" s="169">
        <f>IF(OR(L15="",O11=""),"",L15/(G15*O11*G13*8760))</f>
        <v>0.00035055342747477186</v>
      </c>
      <c r="P13" s="155" t="s">
        <v>29</v>
      </c>
      <c r="Q13" s="170">
        <f>IF(Q11="","",VLOOKUP(Q11,T20:AB195,9,FALSE))</f>
        <v>35</v>
      </c>
      <c r="R13" s="2"/>
      <c r="S13" s="2"/>
      <c r="T13" s="171" t="s">
        <v>29</v>
      </c>
      <c r="U13" s="171"/>
      <c r="V13" s="171"/>
      <c r="W13" s="1"/>
      <c r="X13" s="174"/>
      <c r="Y13" s="175">
        <f>IF(Y12="","",VLOOKUP(Y12,AA19:AB195,2,FALSE))</f>
        <v>35</v>
      </c>
      <c r="Z13" s="472"/>
      <c r="AA13" s="479" t="b">
        <f>IF(AND($O$15&gt;=0,$O$15&lt;17),15,(IF(AND($O$15&gt;=18,$O$15&lt;34),30,(IF(AND($O$15&gt;=35,$O$15&lt;52),45,(IF(AND($O$15&gt;=53,$O$15&lt;87),75,(IF(AND($O$15&gt;=88,$O$15&lt;130),112.5,(IF(AND($O$15&gt;=131,$O$15&lt;175),150)))))))))))</f>
        <v>0</v>
      </c>
      <c r="AB13" s="480" t="b">
        <f>IF(AND($O$15&gt;=0,$O$15&lt;18),15,(IF(AND($O$15&gt;=19,$O$15&lt;36),30,(IF(AND($O$15&gt;=37,$O$15&lt;54),45,(IF(AND($O$15&gt;=55,$O$15&lt;90),75,(IF(AND($O$15&gt;=91,$O$15&lt;135),112.5,(IF(AND($O$15&gt;=136,$O$15&lt;180),150)))))))))))</f>
        <v>0</v>
      </c>
      <c r="AH13" s="420"/>
    </row>
    <row r="14" spans="1:34" ht="14.25" customHeight="1" thickBot="1">
      <c r="A14" s="2"/>
      <c r="B14" s="2"/>
      <c r="C14" s="671" t="s">
        <v>30</v>
      </c>
      <c r="D14" s="671"/>
      <c r="E14" s="671" t="s">
        <v>31</v>
      </c>
      <c r="F14" s="671"/>
      <c r="G14" s="671"/>
      <c r="H14" s="667" t="s">
        <v>32</v>
      </c>
      <c r="I14" s="668"/>
      <c r="J14" s="669"/>
      <c r="K14" s="671" t="s">
        <v>23</v>
      </c>
      <c r="L14" s="672"/>
      <c r="M14" s="171"/>
      <c r="N14" s="694" t="s">
        <v>24</v>
      </c>
      <c r="O14" s="669"/>
      <c r="P14" s="671" t="s">
        <v>34</v>
      </c>
      <c r="Q14" s="672"/>
      <c r="R14" s="2"/>
      <c r="S14" s="2"/>
      <c r="T14" s="664" t="s">
        <v>35</v>
      </c>
      <c r="U14" s="670"/>
      <c r="V14" s="670"/>
      <c r="W14" s="670"/>
      <c r="X14" s="670"/>
      <c r="Y14" s="665"/>
      <c r="Z14" s="472"/>
      <c r="AA14" s="473"/>
      <c r="AB14" s="474"/>
      <c r="AH14" s="420"/>
    </row>
    <row r="15" spans="1:34" ht="13.5" customHeight="1" thickBot="1">
      <c r="A15" s="2"/>
      <c r="B15" s="2"/>
      <c r="C15" s="156" t="s">
        <v>28</v>
      </c>
      <c r="D15" s="471">
        <v>220</v>
      </c>
      <c r="E15" s="2"/>
      <c r="G15" s="471">
        <v>0.40</v>
      </c>
      <c r="H15" s="157" t="s">
        <v>36</v>
      </c>
      <c r="I15" s="2"/>
      <c r="J15" s="481">
        <v>5</v>
      </c>
      <c r="L15" s="168">
        <f>IF(Y20="","",SUM(Y20:Y125))</f>
        <v>255.68850283567889</v>
      </c>
      <c r="M15" s="171"/>
      <c r="O15" s="443">
        <f>IF(O11="","",SUM(AE19:AF144))</f>
        <v>226.25858025000014</v>
      </c>
      <c r="P15" s="430" t="s">
        <v>37</v>
      </c>
      <c r="Q15" s="330" t="str">
        <f>IF(O15="","",IF(O15&lt;=82,75,IF(AND(O15&gt;82,O15&lt;=124),112.5,IF(AND(O15&gt;124,O15&lt;=165),150,IF(O15&gt;165,"Dividir Área BT")))))</f>
        <v>Dividir Área BT</v>
      </c>
      <c r="R15" s="2"/>
      <c r="S15" s="2"/>
      <c r="T15" s="429" t="s">
        <v>38</v>
      </c>
      <c r="U15" s="171"/>
      <c r="V15" s="171"/>
      <c r="W15" s="1"/>
      <c r="X15" s="176"/>
      <c r="Y15" s="177">
        <f>IF(AND(N20="",N33=""),"",MAX(AC20:AC44))</f>
        <v>245</v>
      </c>
      <c r="Z15" s="472"/>
      <c r="AA15" s="473"/>
      <c r="AB15" s="474"/>
      <c r="AC15" s="463">
        <f>34/(1.73*0.22)</f>
        <v>89.332632685233847</v>
      </c>
      <c r="AH15" s="420"/>
    </row>
    <row r="16" spans="1:34" ht="8.25" customHeight="1" thickBot="1">
      <c r="A16" s="2"/>
      <c r="B16" s="2"/>
      <c r="C16" s="2"/>
      <c r="D16" s="2"/>
      <c r="E16" s="2"/>
      <c r="F16" s="2"/>
      <c r="G16" s="2"/>
      <c r="H16" s="2"/>
      <c r="I16" s="2"/>
      <c r="J16" s="2"/>
      <c r="K16" s="158"/>
      <c r="M16" s="171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472"/>
      <c r="AA16" s="473"/>
      <c r="AB16" s="474"/>
      <c r="AH16" s="420"/>
    </row>
    <row r="17" spans="1:34" ht="20.25" customHeight="1" thickBot="1">
      <c r="A17" s="2"/>
      <c r="B17" s="2"/>
      <c r="C17" s="664" t="s">
        <v>39</v>
      </c>
      <c r="D17" s="665"/>
      <c r="E17" s="692" t="s">
        <v>40</v>
      </c>
      <c r="F17" s="159"/>
      <c r="G17" s="647" t="s">
        <v>110</v>
      </c>
      <c r="H17" s="688" t="s">
        <v>42</v>
      </c>
      <c r="J17" s="647" t="s">
        <v>43</v>
      </c>
      <c r="K17" s="647" t="s">
        <v>44</v>
      </c>
      <c r="L17" s="692" t="s">
        <v>111</v>
      </c>
      <c r="M17" s="352"/>
      <c r="N17" s="647" t="s">
        <v>112</v>
      </c>
      <c r="O17" s="647" t="s">
        <v>113</v>
      </c>
      <c r="P17" s="647" t="s">
        <v>48</v>
      </c>
      <c r="Q17" s="647" t="s">
        <v>49</v>
      </c>
      <c r="R17" s="628" t="s">
        <v>114</v>
      </c>
      <c r="S17" s="628" t="s">
        <v>115</v>
      </c>
      <c r="T17" s="692" t="s">
        <v>116</v>
      </c>
      <c r="U17" s="626" t="s">
        <v>117</v>
      </c>
      <c r="V17" s="356" t="s">
        <v>52</v>
      </c>
      <c r="W17" s="690" t="s">
        <v>118</v>
      </c>
      <c r="X17" s="690" t="s">
        <v>119</v>
      </c>
      <c r="Y17" s="686" t="s">
        <v>120</v>
      </c>
      <c r="Z17" s="482"/>
      <c r="AA17" s="483"/>
      <c r="AB17" s="484"/>
      <c r="AD17" s="398"/>
      <c r="AE17" s="467"/>
      <c r="AF17" s="467"/>
      <c r="AG17" s="468"/>
      <c r="AH17" s="420"/>
    </row>
    <row r="18" spans="1:34" ht="18" customHeight="1" thickBot="1">
      <c r="A18" s="2"/>
      <c r="B18" s="2"/>
      <c r="C18" s="160" t="s">
        <v>54</v>
      </c>
      <c r="D18" s="160" t="s">
        <v>55</v>
      </c>
      <c r="E18" s="693"/>
      <c r="F18" s="161"/>
      <c r="G18" s="648"/>
      <c r="H18" s="689"/>
      <c r="J18" s="648"/>
      <c r="K18" s="648"/>
      <c r="L18" s="693"/>
      <c r="M18" s="352"/>
      <c r="N18" s="648"/>
      <c r="O18" s="648"/>
      <c r="P18" s="648"/>
      <c r="Q18" s="648"/>
      <c r="R18" s="629"/>
      <c r="S18" s="629"/>
      <c r="T18" s="693"/>
      <c r="U18" s="627"/>
      <c r="V18" s="356" t="s">
        <v>121</v>
      </c>
      <c r="W18" s="691"/>
      <c r="X18" s="691"/>
      <c r="Y18" s="687"/>
      <c r="AA18" s="485" t="s">
        <v>25</v>
      </c>
      <c r="AB18" s="485" t="s">
        <v>29</v>
      </c>
      <c r="AC18" s="485" t="s">
        <v>56</v>
      </c>
      <c r="AD18" s="401"/>
      <c r="AE18" s="685" t="s">
        <v>57</v>
      </c>
      <c r="AF18" s="685"/>
      <c r="AG18" s="474"/>
      <c r="AH18" s="420"/>
    </row>
    <row r="19" spans="1:34" ht="15" customHeight="1" thickTop="1">
      <c r="A19" s="649" t="s">
        <v>61</v>
      </c>
      <c r="B19" s="659" t="s">
        <v>62</v>
      </c>
      <c r="C19" s="662" t="s">
        <v>63</v>
      </c>
      <c r="D19" s="663"/>
      <c r="E19" s="182" t="s">
        <v>64</v>
      </c>
      <c r="F19" s="182" t="s">
        <v>64</v>
      </c>
      <c r="G19" s="182" t="s">
        <v>64</v>
      </c>
      <c r="H19" s="182" t="s">
        <v>64</v>
      </c>
      <c r="I19" s="182" t="s">
        <v>64</v>
      </c>
      <c r="J19" s="182" t="s">
        <v>64</v>
      </c>
      <c r="K19" s="182" t="s">
        <v>64</v>
      </c>
      <c r="L19" s="184" t="s">
        <v>64</v>
      </c>
      <c r="M19" s="185"/>
      <c r="N19" s="182" t="s">
        <v>64</v>
      </c>
      <c r="O19" s="184" t="s">
        <v>67</v>
      </c>
      <c r="P19" s="184" t="s">
        <v>67</v>
      </c>
      <c r="Q19" s="184" t="s">
        <v>67</v>
      </c>
      <c r="R19" s="186" t="s">
        <v>122</v>
      </c>
      <c r="S19" s="186" t="s">
        <v>123</v>
      </c>
      <c r="T19" s="184" t="s">
        <v>67</v>
      </c>
      <c r="U19" s="186" t="s">
        <v>67</v>
      </c>
      <c r="V19" s="186"/>
      <c r="W19" s="186" t="s">
        <v>67</v>
      </c>
      <c r="X19" s="186" t="s">
        <v>64</v>
      </c>
      <c r="Y19" s="187" t="s">
        <v>65</v>
      </c>
      <c r="AA19" s="488"/>
      <c r="AB19" s="485"/>
      <c r="AC19" s="485"/>
      <c r="AD19" s="401"/>
      <c r="AE19" s="473" t="str">
        <f t="shared" si="0" ref="AE19:AF44">F19</f>
        <v>-------------</v>
      </c>
      <c r="AF19" s="475" t="str">
        <f t="shared" si="0"/>
        <v>-------------</v>
      </c>
      <c r="AG19" s="474">
        <f>SQRT(3)*(Q20+Q33)*0.22</f>
        <v>53.937803960526338</v>
      </c>
      <c r="AH19" s="420"/>
    </row>
    <row r="20" spans="1:34" ht="15" customHeight="1">
      <c r="A20" s="650"/>
      <c r="B20" s="660"/>
      <c r="C20" s="359" t="s">
        <v>71</v>
      </c>
      <c r="D20" s="489">
        <v>1</v>
      </c>
      <c r="E20" s="486">
        <v>3</v>
      </c>
      <c r="F20" s="357">
        <f>IF(OR(E20="",$G$11=""),"",IF($G$11&gt;0,E20*$G$11*($J$11/100+1)^($J$15-1),E20*$E$11*($J$11/100+1)^($J$15-1)))</f>
        <v>6.6366641250000011</v>
      </c>
      <c r="G20" s="487">
        <v>0.017999999999999999</v>
      </c>
      <c r="H20" s="190">
        <f>IF(AND(E20="",G20=""),"",SUM(F20:$G$31))</f>
        <v>46.582648875000018</v>
      </c>
      <c r="I20" s="191"/>
      <c r="J20" s="490" t="s">
        <v>237</v>
      </c>
      <c r="K20" s="490">
        <v>120</v>
      </c>
      <c r="L20" s="197">
        <f>IF(J20="Duplex",VLOOKUP(M20,'Características dos Cabos M EX'!$C$12:$I$14,7),(IF(J20="Triplex",VLOOKUP(M20,'Características dos Cabos M EX'!$C$15:$J$20,8),(IF(J20="Quadruplex",VLOOKUP(M20,'Características dos Cabos M EX'!$C$21:$K$27,9),(IF(J20="13",VLOOKUP(M20,'Características dos Cabos M EX'!$C$15:$L$20,10),"")))))))</f>
        <v>6.842105263157896E-05</v>
      </c>
      <c r="M20" s="350" t="str">
        <f>IF(K20=10,"a",IF(K20=16,"b",IF(K20=25,"c",IF(K20=35,"d",IF(K20=50,"e",(IF(K20=70,"f",(IF(K20=120,"g","")))))))))</f>
        <v>g</v>
      </c>
      <c r="N20" s="491">
        <v>35</v>
      </c>
      <c r="O20" s="192">
        <f t="shared" si="1" ref="O20:O44">IF(OR(N20="",L20="",H20=""),"",N20*L20*H20)</f>
        <v>0.11155318546381586</v>
      </c>
      <c r="P20" s="192">
        <f>IF(O20="","",SUM($O$20:O20))</f>
        <v>0.11155318546381586</v>
      </c>
      <c r="Q20" s="192">
        <f>IF(H20="","",IF(J20="Quadruplex",H20*1000/($D$13*SQRT(3)),IF(J20="Triplex",H20*1000*SQRT(3)/($D$13*2),IF(J20="Duplex",H20*1000*SQRT(3)/$D$13,IF(J20="13",H20*1000/$D$15,IF(J20="12",H20*1000*2/$D$15,"erro"))))))</f>
        <v>70.775012809334427</v>
      </c>
      <c r="R20" s="193">
        <f>IF(J20="Duplex",VLOOKUP(M20,'Características dos Cabos MX CH'!$C$12:$I$14,5),(IF(J20="Triplex",VLOOKUP(M20,'Características dos Cabos MX CH'!$C$15:$J$20,5),(IF(J20="Quadruplex",VLOOKUP(M20,'Características dos Cabos MX CH'!$C$21:$K$27,5),(IF(J20="13",VLOOKUP(M20,'Características dos Cabos MX CH'!$C$15:$L$20,5),"")))))))</f>
        <v>268</v>
      </c>
      <c r="S20" s="193">
        <f>IF(J20="Duplex",VLOOKUP(M20,'Características dos Cabos MX CH'!$C$12:$I$14,6),(IF(J20="Triplex",VLOOKUP(M20,'Características dos Cabos MX CH'!$C$15:$J$20,6),(IF(J20="Quadruplex",VLOOKUP(M20,'Características dos Cabos MX CH'!$C$21:$K$27,6),(IF(J20="13",VLOOKUP(M20,'Características dos Cabos MX CH'!$C$15:$L$20,6),"")))))))</f>
        <v>319</v>
      </c>
      <c r="T20" s="194">
        <f>IF(OR(Q20="",R20="",S20=""),"",IF($L$11="PE",Q20/R20,IF($L$11="XLPE",Q20/S20,"")))</f>
        <v>0.22186524391640886</v>
      </c>
      <c r="U20" s="447">
        <f>IF(J20="Duplex",VLOOKUP(M20,'Características dos Cabos MX CH'!$C$12:$I$14,2),(IF(J20="Triplex",VLOOKUP(M20,'Características dos Cabos MX CH'!$C$15:$J$20,2),(IF(J20="Quadruplex",VLOOKUP(M20,'Características dos Cabos MX CH'!$C$21:$K$27,2),(IF(J20="13",VLOOKUP(M20,'Características dos Cabos MX CH'!$C$15:$L$20,2),"")))))))</f>
        <v>0.34239999999999998</v>
      </c>
      <c r="V20" s="193">
        <f>IF(J20="Duplex",VLOOKUP(M20,'Características dos Cabos MX CH'!$C$12:$I$14,3),(IF(J20="Triplex",VLOOKUP(M20,'Características dos Cabos MX CH'!$C$15:$J$20,3),(IF(J20="Quadruplex",VLOOKUP(M20,'Características dos Cabos MX CH'!$C$21:$K$27,3),(IF(J20="13",VLOOKUP(M20,'Características dos Cabos MX CH'!$C$15:$L$20,3),"")))))))</f>
        <v>0.34239999999999998</v>
      </c>
      <c r="W20" s="195">
        <f>IF(OR(O20="",$G$15="",H20="",N20=""),"",IF(J20="Quadruplex",3*$L$13*U20*O20/1000*R20^2*8.76,IF(J20="Triplex",2*$L$13*U20*O20/1000*R20^2*8.76,IF(J20="Duplex",$L$13*U20*O20/1000*R20^2*8.76))))</f>
        <v>16.726253175543782</v>
      </c>
      <c r="X20" s="195">
        <f>IF(OR(O20="",$G$15="",H20="",N20=""),"",IF(J20="Quadruplex",3*$L$13*V20*O20/1000*R20^2*8.76,IF(J20="triplex",2*$L$13*V20*O20/1000*R20^2*8.76,IF(J20="Duplex",$L$13*V20*O20/1000*R20^2*8.76))))</f>
        <v>16.726253175543782</v>
      </c>
      <c r="Y20" s="196">
        <f>IF(OR(V20="",W20="",X20=""),"",IF($L$11="PE",W20,IF($L$11="XLPE",X20,"")))</f>
        <v>16.726253175543782</v>
      </c>
      <c r="AA20" s="488">
        <f t="shared" si="2" ref="AA20:AA44">D20</f>
        <v>1</v>
      </c>
      <c r="AB20" s="488">
        <f t="shared" si="3" ref="AB20:AB86">K20</f>
        <v>120</v>
      </c>
      <c r="AC20" s="485">
        <f>SUM($N$20:N20)</f>
        <v>35</v>
      </c>
      <c r="AD20" s="401"/>
      <c r="AE20" s="492">
        <f>IF(OR(E20="",$G$11=""),"",IF($G$11&gt;0,E20*$G$11*($J$11/100+1)^($J$15-1),E20*$E$11*($J$11/100+1)^($J$15-1)))</f>
        <v>6.6366641250000011</v>
      </c>
      <c r="AF20" s="475">
        <f t="shared" si="0"/>
        <v>0.017999999999999999</v>
      </c>
      <c r="AG20" s="474"/>
      <c r="AH20" s="420"/>
    </row>
    <row r="21" spans="1:34" ht="15" customHeight="1">
      <c r="A21" s="650"/>
      <c r="B21" s="660"/>
      <c r="C21" s="493" t="s">
        <v>238</v>
      </c>
      <c r="D21" s="494" t="s">
        <v>69</v>
      </c>
      <c r="E21" s="495">
        <v>3</v>
      </c>
      <c r="F21" s="357">
        <f t="shared" si="4" ref="F21:F52">IF(OR(E21="",$G$11=""),"",IF($G$11&gt;0,E21*$G$11*($J$11/100+1)^($J$15-1),E21*$E$11*($J$11/100+1)^($J$15-1)))</f>
        <v>6.6366641250000011</v>
      </c>
      <c r="G21" s="487">
        <v>0.017999999999999999</v>
      </c>
      <c r="H21" s="190">
        <f>IF(AND(E21="",G21=""),"",SUM(F21:$G$31))</f>
        <v>39.927984750000014</v>
      </c>
      <c r="I21" s="191"/>
      <c r="J21" s="490" t="s">
        <v>237</v>
      </c>
      <c r="K21" s="490">
        <v>120</v>
      </c>
      <c r="L21" s="197">
        <f>IF(J21="Duplex",VLOOKUP(M21,'Características dos Cabos M EX'!$C$12:$I$14,7),(IF(J21="Triplex",VLOOKUP(M21,'Características dos Cabos M EX'!$C$15:$J$20,8),(IF(J21="Quadruplex",VLOOKUP(M21,'Características dos Cabos M EX'!$C$21:$K$27,9),(IF(J21="13",VLOOKUP(M21,'Características dos Cabos M EX'!$C$15:$L$20,10),"")))))))</f>
        <v>6.842105263157896E-05</v>
      </c>
      <c r="M21" s="350" t="str">
        <f t="shared" si="5" ref="M21:M86">IF(K21=10,"a",IF(K21=16,"b",IF(K21=25,"c",IF(K21=35,"d",IF(K21=50,"e",(IF(K21=70,"f",(IF(K21=120,"g","")))))))))</f>
        <v>g</v>
      </c>
      <c r="N21" s="491">
        <v>35</v>
      </c>
      <c r="O21" s="192">
        <f t="shared" si="1"/>
        <v>0.09561701611184216</v>
      </c>
      <c r="P21" s="192">
        <f>IF(O21="","",SUM($O$20:O21))</f>
        <v>0.20717020157565802</v>
      </c>
      <c r="Q21" s="192">
        <f t="shared" si="6" ref="Q21:Q86">IF(H21="","",IF(J21="Quadruplex",H21*1000/($D$13*SQRT(3)),IF(J21="Triplex",H21*1000*SQRT(3)/($D$13*2),IF(J21="Duplex",H21*1000*SQRT(3)/$D$13,IF(J21="13",H21*1000/$D$15,IF(J21="12",H21*1000*2/$D$15,"erro"))))))</f>
        <v>60.664296693715222</v>
      </c>
      <c r="R21" s="193">
        <f>IF(J21="Duplex",VLOOKUP(M21,'Características dos Cabos MX CH'!$C$12:$I$14,5),(IF(J21="Triplex",VLOOKUP(M21,'Características dos Cabos MX CH'!$C$15:$J$20,5),(IF(J21="Quadruplex",VLOOKUP(M21,'Características dos Cabos MX CH'!$C$21:$K$27,5),(IF(J21="13",VLOOKUP(M21,'Características dos Cabos MX CH'!$C$15:$L$20,5),"")))))))</f>
        <v>268</v>
      </c>
      <c r="S21" s="193">
        <f>IF(J21="Duplex",VLOOKUP(M21,'Características dos Cabos MX CH'!$C$12:$I$14,6),(IF(J21="Triplex",VLOOKUP(M21,'Características dos Cabos MX CH'!$C$15:$J$20,6),(IF(J21="Quadruplex",VLOOKUP(M21,'Características dos Cabos MX CH'!$C$21:$K$27,6),(IF(J21="13",VLOOKUP(M21,'Características dos Cabos MX CH'!$C$15:$L$20,6),"")))))))</f>
        <v>319</v>
      </c>
      <c r="T21" s="194">
        <f t="shared" si="7" ref="T21:T44">IF(OR(Q21="",R21="",S21=""),"",IF($L$11="PE",Q21/R21,IF($L$11="XLPE",Q21/S21,"")))</f>
        <v>0.1901702090712076</v>
      </c>
      <c r="U21" s="447">
        <f>IF(J21="Duplex",VLOOKUP(M21,'Características dos Cabos MX CH'!$C$12:$I$14,2),(IF(J21="Triplex",VLOOKUP(M21,'Características dos Cabos MX CH'!$C$15:$J$20,2),(IF(J21="Quadruplex",VLOOKUP(M21,'Características dos Cabos MX CH'!$C$21:$K$27,2),(IF(J21="13",VLOOKUP(M21,'Características dos Cabos MX CH'!$C$15:$L$20,2),"")))))))</f>
        <v>0.34239999999999998</v>
      </c>
      <c r="V21" s="193">
        <f>IF(J21="Duplex",VLOOKUP(M21,'Características dos Cabos MX CH'!$C$12:$I$14,3),(IF(J21="Triplex",VLOOKUP(M21,'Características dos Cabos MX CH'!$C$15:$J$20,3),(IF(J21="Quadruplex",VLOOKUP(M21,'Características dos Cabos MX CH'!$C$21:$K$27,3),(IF(J21="13",VLOOKUP(M21,'Características dos Cabos MX CH'!$C$15:$L$20,3),"")))))))</f>
        <v>0.34239999999999998</v>
      </c>
      <c r="W21" s="195">
        <f t="shared" si="8" ref="W21:W44">IF(OR(O21="",$G$15="",H21="",N21=""),"",IF(J21="Quadruplex",3*$L$13*U21*O21/1000*R21^2*8.76,IF(J21="Triplex",2*$L$13*U21*O21/1000*R21^2*8.76,IF(J21="Duplex",$L$13*U21*O21/1000*R21^2*8.76))))</f>
        <v>14.336788436180385</v>
      </c>
      <c r="X21" s="195">
        <f t="shared" si="9" ref="X21:X44">IF(OR(O21="",$G$15="",H21="",N21=""),"",IF(J21="Quadruplex",3*$L$13*V21*O21/1000*R21^2*8.76,IF(J21="triplex",2*$L$13*V21*O21/1000*R21^2*8.76,IF(J21="Duplex",$L$13*V21*O21/1000*R21^2*8.76))))</f>
        <v>14.336788436180385</v>
      </c>
      <c r="Y21" s="196">
        <f t="shared" si="10" ref="Y21:Y44">IF(OR(V21="",W21="",X21=""),"",IF($L$11="PE",W21,IF($L$11="XLPE",X21,"")))</f>
        <v>14.336788436180385</v>
      </c>
      <c r="AA21" s="488" t="str">
        <f t="shared" si="2"/>
        <v>2</v>
      </c>
      <c r="AB21" s="488">
        <f t="shared" si="3"/>
        <v>120</v>
      </c>
      <c r="AC21" s="485">
        <f>SUM($N$20:N21)</f>
        <v>70</v>
      </c>
      <c r="AD21" s="401"/>
      <c r="AE21" s="492">
        <f t="shared" si="11" ref="AE21:AE84">IF(OR(E21="",$G$11=""),"",IF($G$11&gt;0,E21*$G$11*($J$11/100+1)^($J$15-1),E21*$E$11*($J$11/100+1)^($J$15-1)))</f>
        <v>6.6366641250000011</v>
      </c>
      <c r="AF21" s="475">
        <f t="shared" si="0"/>
        <v>0.017999999999999999</v>
      </c>
      <c r="AG21" s="474"/>
      <c r="AH21" s="420"/>
    </row>
    <row r="22" spans="1:34" ht="15" customHeight="1">
      <c r="A22" s="650"/>
      <c r="B22" s="660"/>
      <c r="C22" s="493" t="s">
        <v>69</v>
      </c>
      <c r="D22" s="494" t="s">
        <v>239</v>
      </c>
      <c r="E22" s="495">
        <v>3</v>
      </c>
      <c r="F22" s="357">
        <f t="shared" si="4"/>
        <v>6.6366641250000011</v>
      </c>
      <c r="G22" s="487">
        <v>0.017999999999999999</v>
      </c>
      <c r="H22" s="190">
        <f>IF(AND(E22="",G22=""),"",SUM(F22:$G$31))</f>
        <v>33.273320625000011</v>
      </c>
      <c r="I22" s="191"/>
      <c r="J22" s="490" t="s">
        <v>237</v>
      </c>
      <c r="K22" s="490">
        <v>120</v>
      </c>
      <c r="L22" s="197">
        <f>IF(J22="Duplex",VLOOKUP(M22,'Características dos Cabos M EX'!$C$12:$I$14,7),(IF(J22="Triplex",VLOOKUP(M22,'Características dos Cabos M EX'!$C$15:$J$20,8),(IF(J22="Quadruplex",VLOOKUP(M22,'Características dos Cabos M EX'!$C$21:$K$27,9),(IF(J22="13",VLOOKUP(M22,'Características dos Cabos M EX'!$C$15:$L$20,10),"")))))))</f>
        <v>6.842105263157896E-05</v>
      </c>
      <c r="M22" s="350" t="str">
        <f t="shared" si="5"/>
        <v>g</v>
      </c>
      <c r="N22" s="491">
        <v>35</v>
      </c>
      <c r="O22" s="192">
        <f t="shared" si="1"/>
        <v>0.079680846759868459</v>
      </c>
      <c r="P22" s="192">
        <f>IF(O22="","",SUM($O$20:O22))</f>
        <v>0.28685104833552649</v>
      </c>
      <c r="Q22" s="192">
        <f t="shared" si="6"/>
        <v>50.55358057809601</v>
      </c>
      <c r="R22" s="193">
        <f>IF(J22="Duplex",VLOOKUP(M22,'Características dos Cabos MX CH'!$C$12:$I$14,5),(IF(J22="Triplex",VLOOKUP(M22,'Características dos Cabos MX CH'!$C$15:$J$20,5),(IF(J22="Quadruplex",VLOOKUP(M22,'Características dos Cabos MX CH'!$C$21:$K$27,5),(IF(J22="13",VLOOKUP(M22,'Características dos Cabos MX CH'!$C$15:$L$20,5),"")))))))</f>
        <v>268</v>
      </c>
      <c r="S22" s="193">
        <f>IF(J22="Duplex",VLOOKUP(M22,'Características dos Cabos MX CH'!$C$12:$I$14,6),(IF(J22="Triplex",VLOOKUP(M22,'Características dos Cabos MX CH'!$C$15:$J$20,6),(IF(J22="Quadruplex",VLOOKUP(M22,'Características dos Cabos MX CH'!$C$21:$K$27,6),(IF(J22="13",VLOOKUP(M22,'Características dos Cabos MX CH'!$C$15:$L$20,6),"")))))))</f>
        <v>319</v>
      </c>
      <c r="T22" s="194">
        <f t="shared" si="7"/>
        <v>0.15847517422600629</v>
      </c>
      <c r="U22" s="447">
        <f>IF(J22="Duplex",VLOOKUP(M22,'Características dos Cabos MX CH'!$C$12:$I$14,2),(IF(J22="Triplex",VLOOKUP(M22,'Características dos Cabos MX CH'!$C$15:$J$20,2),(IF(J22="Quadruplex",VLOOKUP(M22,'Características dos Cabos MX CH'!$C$21:$K$27,2),(IF(J22="13",VLOOKUP(M22,'Características dos Cabos MX CH'!$C$15:$L$20,2),"")))))))</f>
        <v>0.34239999999999998</v>
      </c>
      <c r="V22" s="193">
        <f>IF(J22="Duplex",VLOOKUP(M22,'Características dos Cabos MX CH'!$C$12:$I$14,3),(IF(J22="Triplex",VLOOKUP(M22,'Características dos Cabos MX CH'!$C$15:$J$20,3),(IF(J22="Quadruplex",VLOOKUP(M22,'Características dos Cabos MX CH'!$C$21:$K$27,3),(IF(J22="13",VLOOKUP(M22,'Características dos Cabos MX CH'!$C$15:$L$20,3),"")))))))</f>
        <v>0.34239999999999998</v>
      </c>
      <c r="W22" s="195">
        <f t="shared" si="8"/>
        <v>11.947323696816987</v>
      </c>
      <c r="X22" s="195">
        <f t="shared" si="9"/>
        <v>11.947323696816987</v>
      </c>
      <c r="Y22" s="196">
        <f t="shared" si="10"/>
        <v>11.947323696816987</v>
      </c>
      <c r="AA22" s="488" t="str">
        <f t="shared" si="2"/>
        <v>3</v>
      </c>
      <c r="AB22" s="488">
        <f t="shared" si="3"/>
        <v>120</v>
      </c>
      <c r="AC22" s="485">
        <f>SUM($N$20:N22)</f>
        <v>105</v>
      </c>
      <c r="AD22" s="401"/>
      <c r="AE22" s="492">
        <f t="shared" si="11"/>
        <v>6.6366641250000011</v>
      </c>
      <c r="AF22" s="475">
        <f t="shared" si="0"/>
        <v>0.017999999999999999</v>
      </c>
      <c r="AG22" s="474"/>
      <c r="AH22" s="420"/>
    </row>
    <row r="23" spans="1:34" ht="15" customHeight="1">
      <c r="A23" s="650"/>
      <c r="B23" s="660"/>
      <c r="C23" s="493" t="s">
        <v>239</v>
      </c>
      <c r="D23" s="494" t="s">
        <v>60</v>
      </c>
      <c r="E23" s="495">
        <v>3</v>
      </c>
      <c r="F23" s="357">
        <f t="shared" si="4"/>
        <v>6.6366641250000011</v>
      </c>
      <c r="G23" s="487">
        <v>0.017999999999999999</v>
      </c>
      <c r="H23" s="190">
        <f>IF(AND(E23="",G23=""),"",SUM(F23:$G$31))</f>
        <v>26.618656500000007</v>
      </c>
      <c r="I23" s="191"/>
      <c r="J23" s="490" t="s">
        <v>237</v>
      </c>
      <c r="K23" s="490">
        <v>120</v>
      </c>
      <c r="L23" s="197">
        <f>IF(J23="Duplex",VLOOKUP(M23,'Características dos Cabos M EX'!$C$12:$I$14,7),(IF(J23="Triplex",VLOOKUP(M23,'Características dos Cabos M EX'!$C$15:$J$20,8),(IF(J23="Quadruplex",VLOOKUP(M23,'Características dos Cabos M EX'!$C$21:$K$27,9),(IF(J23="13",VLOOKUP(M23,'Características dos Cabos M EX'!$C$15:$L$20,10),"")))))))</f>
        <v>6.842105263157896E-05</v>
      </c>
      <c r="M23" s="350" t="str">
        <f t="shared" si="5"/>
        <v>g</v>
      </c>
      <c r="N23" s="491">
        <v>35</v>
      </c>
      <c r="O23" s="192">
        <f t="shared" si="1"/>
        <v>0.063744677407894773</v>
      </c>
      <c r="P23" s="192">
        <f>IF(O23="","",SUM($O$20:O23))</f>
        <v>0.35059572574342124</v>
      </c>
      <c r="Q23" s="192">
        <f t="shared" si="6"/>
        <v>40.442864462476813</v>
      </c>
      <c r="R23" s="193">
        <f>IF(J23="Duplex",VLOOKUP(M23,'Características dos Cabos MX CH'!$C$12:$I$14,5),(IF(J23="Triplex",VLOOKUP(M23,'Características dos Cabos MX CH'!$C$15:$J$20,5),(IF(J23="Quadruplex",VLOOKUP(M23,'Características dos Cabos MX CH'!$C$21:$K$27,5),(IF(J23="13",VLOOKUP(M23,'Características dos Cabos MX CH'!$C$15:$L$20,5),"")))))))</f>
        <v>268</v>
      </c>
      <c r="S23" s="193">
        <f>IF(J23="Duplex",VLOOKUP(M23,'Características dos Cabos MX CH'!$C$12:$I$14,6),(IF(J23="Triplex",VLOOKUP(M23,'Características dos Cabos MX CH'!$C$15:$J$20,6),(IF(J23="Quadruplex",VLOOKUP(M23,'Características dos Cabos MX CH'!$C$21:$K$27,6),(IF(J23="13",VLOOKUP(M23,'Características dos Cabos MX CH'!$C$15:$L$20,6),"")))))))</f>
        <v>319</v>
      </c>
      <c r="T23" s="194">
        <f t="shared" si="7"/>
        <v>0.12678013938080507</v>
      </c>
      <c r="U23" s="447">
        <f>IF(J23="Duplex",VLOOKUP(M23,'Características dos Cabos MX CH'!$C$12:$I$14,2),(IF(J23="Triplex",VLOOKUP(M23,'Características dos Cabos MX CH'!$C$15:$J$20,2),(IF(J23="Quadruplex",VLOOKUP(M23,'Características dos Cabos MX CH'!$C$21:$K$27,2),(IF(J23="13",VLOOKUP(M23,'Características dos Cabos MX CH'!$C$15:$L$20,2),"")))))))</f>
        <v>0.34239999999999998</v>
      </c>
      <c r="V23" s="193">
        <f>IF(J23="Duplex",VLOOKUP(M23,'Características dos Cabos MX CH'!$C$12:$I$14,3),(IF(J23="Triplex",VLOOKUP(M23,'Características dos Cabos MX CH'!$C$15:$J$20,3),(IF(J23="Quadruplex",VLOOKUP(M23,'Características dos Cabos MX CH'!$C$21:$K$27,3),(IF(J23="13",VLOOKUP(M23,'Características dos Cabos MX CH'!$C$15:$L$20,3),"")))))))</f>
        <v>0.34239999999999998</v>
      </c>
      <c r="W23" s="195">
        <f t="shared" si="8"/>
        <v>9.5578589574535915</v>
      </c>
      <c r="X23" s="195">
        <f t="shared" si="9"/>
        <v>9.5578589574535915</v>
      </c>
      <c r="Y23" s="196">
        <f t="shared" si="10"/>
        <v>9.5578589574535915</v>
      </c>
      <c r="AA23" s="488" t="str">
        <f t="shared" si="2"/>
        <v>4</v>
      </c>
      <c r="AB23" s="488">
        <f t="shared" si="3"/>
        <v>120</v>
      </c>
      <c r="AC23" s="485">
        <f>SUM($N$20:N23)</f>
        <v>140</v>
      </c>
      <c r="AD23" s="401"/>
      <c r="AE23" s="492">
        <f t="shared" si="11"/>
        <v>6.6366641250000011</v>
      </c>
      <c r="AF23" s="475">
        <f t="shared" si="0"/>
        <v>0.017999999999999999</v>
      </c>
      <c r="AG23" s="474"/>
      <c r="AH23" s="420"/>
    </row>
    <row r="24" spans="1:34" ht="15" customHeight="1">
      <c r="A24" s="650"/>
      <c r="B24" s="660"/>
      <c r="C24" s="493" t="s">
        <v>60</v>
      </c>
      <c r="D24" s="494" t="s">
        <v>240</v>
      </c>
      <c r="E24" s="495">
        <v>3</v>
      </c>
      <c r="F24" s="357">
        <f t="shared" si="4"/>
        <v>6.6366641250000011</v>
      </c>
      <c r="G24" s="487">
        <v>0.017999999999999999</v>
      </c>
      <c r="H24" s="190">
        <f>IF(AND(E24="",G24=""),"",SUM(F24:$G$31))</f>
        <v>19.963992375000004</v>
      </c>
      <c r="I24" s="191"/>
      <c r="J24" s="490" t="s">
        <v>237</v>
      </c>
      <c r="K24" s="490">
        <v>120</v>
      </c>
      <c r="L24" s="197">
        <f>IF(J24="Duplex",VLOOKUP(M24,'Características dos Cabos M EX'!$C$12:$I$14,7),(IF(J24="Triplex",VLOOKUP(M24,'Características dos Cabos M EX'!$C$15:$J$20,8),(IF(J24="Quadruplex",VLOOKUP(M24,'Características dos Cabos M EX'!$C$21:$K$27,9),(IF(J24="13",VLOOKUP(M24,'Características dos Cabos M EX'!$C$15:$L$20,10),"")))))))</f>
        <v>6.842105263157896E-05</v>
      </c>
      <c r="M24" s="350" t="str">
        <f t="shared" si="5"/>
        <v>g</v>
      </c>
      <c r="N24" s="491">
        <v>35</v>
      </c>
      <c r="O24" s="192">
        <f t="shared" si="1"/>
        <v>0.047808508055921073</v>
      </c>
      <c r="P24" s="192">
        <f>IF(O24="","",SUM($O$20:O24))</f>
        <v>0.39840423379934231</v>
      </c>
      <c r="Q24" s="192">
        <f t="shared" si="6"/>
        <v>30.332148346857608</v>
      </c>
      <c r="R24" s="193">
        <f>IF(J24="Duplex",VLOOKUP(M24,'Características dos Cabos MX CH'!$C$12:$I$14,5),(IF(J24="Triplex",VLOOKUP(M24,'Características dos Cabos MX CH'!$C$15:$J$20,5),(IF(J24="Quadruplex",VLOOKUP(M24,'Características dos Cabos MX CH'!$C$21:$K$27,5),(IF(J24="13",VLOOKUP(M24,'Características dos Cabos MX CH'!$C$15:$L$20,5),"")))))))</f>
        <v>268</v>
      </c>
      <c r="S24" s="193">
        <f>IF(J24="Duplex",VLOOKUP(M24,'Características dos Cabos MX CH'!$C$12:$I$14,6),(IF(J24="Triplex",VLOOKUP(M24,'Características dos Cabos MX CH'!$C$15:$J$20,6),(IF(J24="Quadruplex",VLOOKUP(M24,'Características dos Cabos MX CH'!$C$21:$K$27,6),(IF(J24="13",VLOOKUP(M24,'Características dos Cabos MX CH'!$C$15:$L$20,6),"")))))))</f>
        <v>319</v>
      </c>
      <c r="T24" s="194">
        <f t="shared" si="7"/>
        <v>0.095085104535603787</v>
      </c>
      <c r="U24" s="447">
        <f>IF(J24="Duplex",VLOOKUP(M24,'Características dos Cabos MX CH'!$C$12:$I$14,2),(IF(J24="Triplex",VLOOKUP(M24,'Características dos Cabos MX CH'!$C$15:$J$20,2),(IF(J24="Quadruplex",VLOOKUP(M24,'Características dos Cabos MX CH'!$C$21:$K$27,2),(IF(J24="13",VLOOKUP(M24,'Características dos Cabos MX CH'!$C$15:$L$20,2),"")))))))</f>
        <v>0.34239999999999998</v>
      </c>
      <c r="V24" s="193">
        <f>IF(J24="Duplex",VLOOKUP(M24,'Características dos Cabos MX CH'!$C$12:$I$14,3),(IF(J24="Triplex",VLOOKUP(M24,'Características dos Cabos MX CH'!$C$15:$J$20,3),(IF(J24="Quadruplex",VLOOKUP(M24,'Características dos Cabos MX CH'!$C$21:$K$27,3),(IF(J24="13",VLOOKUP(M24,'Características dos Cabos MX CH'!$C$15:$L$20,3),"")))))))</f>
        <v>0.34239999999999998</v>
      </c>
      <c r="W24" s="195">
        <f t="shared" si="8"/>
        <v>7.1683942180901914</v>
      </c>
      <c r="X24" s="195">
        <f t="shared" si="9"/>
        <v>7.1683942180901914</v>
      </c>
      <c r="Y24" s="196">
        <f t="shared" si="10"/>
        <v>7.1683942180901914</v>
      </c>
      <c r="AA24" s="488" t="str">
        <f t="shared" si="2"/>
        <v>5</v>
      </c>
      <c r="AB24" s="488">
        <f t="shared" si="3"/>
        <v>120</v>
      </c>
      <c r="AC24" s="485">
        <f>SUM($N$20:N24)</f>
        <v>175</v>
      </c>
      <c r="AD24" s="401"/>
      <c r="AE24" s="492">
        <f t="shared" si="11"/>
        <v>6.6366641250000011</v>
      </c>
      <c r="AF24" s="475">
        <f t="shared" si="0"/>
        <v>0.017999999999999999</v>
      </c>
      <c r="AG24" s="474"/>
      <c r="AH24" s="420"/>
    </row>
    <row r="25" spans="1:34" ht="15" customHeight="1">
      <c r="A25" s="650"/>
      <c r="B25" s="660"/>
      <c r="C25" s="493" t="s">
        <v>240</v>
      </c>
      <c r="D25" s="494" t="s">
        <v>124</v>
      </c>
      <c r="E25" s="495">
        <v>3</v>
      </c>
      <c r="F25" s="357">
        <f t="shared" si="4"/>
        <v>6.6366641250000011</v>
      </c>
      <c r="G25" s="487">
        <v>0.017999999999999999</v>
      </c>
      <c r="H25" s="190">
        <f>IF(AND(E25="",G25=""),"",SUM(F25:$G$31))</f>
        <v>13.309328250000004</v>
      </c>
      <c r="I25" s="191"/>
      <c r="J25" s="490" t="s">
        <v>237</v>
      </c>
      <c r="K25" s="490">
        <v>70</v>
      </c>
      <c r="L25" s="197">
        <f>IF(J25="Duplex",VLOOKUP(M25,'Características dos Cabos M EX'!$C$12:$I$14,7),(IF(J25="Triplex",VLOOKUP(M25,'Características dos Cabos M EX'!$C$15:$J$20,8),(IF(J25="Quadruplex",VLOOKUP(M25,'Características dos Cabos M EX'!$C$21:$K$27,9),(IF(J25="13",VLOOKUP(M25,'Características dos Cabos M EX'!$C$15:$L$20,10),"")))))))</f>
        <v>7.3891966759002809E-05</v>
      </c>
      <c r="M25" s="350" t="str">
        <f t="shared" si="5"/>
        <v>f</v>
      </c>
      <c r="N25" s="491">
        <v>35</v>
      </c>
      <c r="O25" s="192">
        <f t="shared" si="1"/>
        <v>0.034420835422178005</v>
      </c>
      <c r="P25" s="192">
        <f>IF(O25="","",SUM($O$20:O25))</f>
        <v>0.43282506922152031</v>
      </c>
      <c r="Q25" s="192">
        <f t="shared" si="6"/>
        <v>20.221432231238406</v>
      </c>
      <c r="R25" s="193">
        <f>IF(J25="Duplex",VLOOKUP(M25,'Características dos Cabos MX CH'!$C$12:$I$14,5),(IF(J25="Triplex",VLOOKUP(M25,'Características dos Cabos MX CH'!$C$15:$J$20,5),(IF(J25="Quadruplex",VLOOKUP(M25,'Características dos Cabos MX CH'!$C$21:$K$27,5),(IF(J25="13",VLOOKUP(M25,'Características dos Cabos MX CH'!$C$15:$L$20,5),"")))))))</f>
        <v>190</v>
      </c>
      <c r="S25" s="193">
        <f>IF(J25="Duplex",VLOOKUP(M25,'Características dos Cabos MX CH'!$C$12:$I$14,6),(IF(J25="Triplex",VLOOKUP(M25,'Características dos Cabos MX CH'!$C$15:$J$20,6),(IF(J25="Quadruplex",VLOOKUP(M25,'Características dos Cabos MX CH'!$C$21:$K$27,6),(IF(J25="13",VLOOKUP(M25,'Características dos Cabos MX CH'!$C$15:$L$20,6),"")))))))</f>
        <v>225</v>
      </c>
      <c r="T25" s="194">
        <f t="shared" si="7"/>
        <v>0.089873032138837364</v>
      </c>
      <c r="U25" s="447">
        <f>IF(J25="Duplex",VLOOKUP(M25,'Características dos Cabos MX CH'!$C$12:$I$14,2),(IF(J25="Triplex",VLOOKUP(M25,'Características dos Cabos MX CH'!$C$15:$J$20,2),(IF(J25="Quadruplex",VLOOKUP(M25,'Características dos Cabos MX CH'!$C$21:$K$27,2),(IF(J25="13",VLOOKUP(M25,'Características dos Cabos MX CH'!$C$15:$L$20,2),"")))))))</f>
        <v>0.57869999999999999</v>
      </c>
      <c r="V25" s="193">
        <f>IF(J25="Duplex",VLOOKUP(M25,'Características dos Cabos MX CH'!$C$12:$I$14,3),(IF(J25="Triplex",VLOOKUP(M25,'Características dos Cabos MX CH'!$C$15:$J$20,3),(IF(J25="Quadruplex",VLOOKUP(M25,'Características dos Cabos MX CH'!$C$21:$K$27,3),(IF(J25="13",VLOOKUP(M25,'Características dos Cabos MX CH'!$C$15:$L$20,3),"")))))))</f>
        <v>0.57869999999999999</v>
      </c>
      <c r="W25" s="195">
        <f t="shared" si="8"/>
        <v>4.3842512740354413</v>
      </c>
      <c r="X25" s="195">
        <f t="shared" si="9"/>
        <v>4.3842512740354413</v>
      </c>
      <c r="Y25" s="196">
        <f t="shared" si="10"/>
        <v>4.3842512740354413</v>
      </c>
      <c r="AA25" s="488" t="str">
        <f t="shared" si="2"/>
        <v>6</v>
      </c>
      <c r="AB25" s="488">
        <f t="shared" si="3"/>
        <v>70</v>
      </c>
      <c r="AC25" s="485">
        <f>SUM($N$20:N25)</f>
        <v>210</v>
      </c>
      <c r="AD25" s="401"/>
      <c r="AE25" s="492">
        <f t="shared" si="11"/>
        <v>6.6366641250000011</v>
      </c>
      <c r="AF25" s="475">
        <f t="shared" si="0"/>
        <v>0.017999999999999999</v>
      </c>
      <c r="AG25" s="474"/>
      <c r="AH25" s="420"/>
    </row>
    <row r="26" spans="1:34" ht="15" customHeight="1">
      <c r="A26" s="650"/>
      <c r="B26" s="660"/>
      <c r="C26" s="493" t="s">
        <v>124</v>
      </c>
      <c r="D26" s="494" t="s">
        <v>241</v>
      </c>
      <c r="E26" s="495">
        <v>3</v>
      </c>
      <c r="F26" s="357">
        <f t="shared" si="4"/>
        <v>6.6366641250000011</v>
      </c>
      <c r="G26" s="487">
        <v>0.017999999999999999</v>
      </c>
      <c r="H26" s="190">
        <f>IF(AND(E26="",G26=""),"",SUM(F26:$G$31))</f>
        <v>6.6546641250000009</v>
      </c>
      <c r="I26" s="191"/>
      <c r="J26" s="490" t="s">
        <v>237</v>
      </c>
      <c r="K26" s="490">
        <v>70</v>
      </c>
      <c r="L26" s="197">
        <f>IF(J26="Duplex",VLOOKUP(M26,'Características dos Cabos M EX'!$C$12:$I$14,7),(IF(J26="Triplex",VLOOKUP(M26,'Características dos Cabos M EX'!$C$15:$J$20,8),(IF(J26="Quadruplex",VLOOKUP(M26,'Características dos Cabos M EX'!$C$21:$K$27,9),(IF(J26="13",VLOOKUP(M26,'Características dos Cabos M EX'!$C$15:$L$20,10),"")))))))</f>
        <v>7.3891966759002809E-05</v>
      </c>
      <c r="M26" s="350" t="str">
        <f t="shared" si="5"/>
        <v>f</v>
      </c>
      <c r="N26" s="491">
        <v>35</v>
      </c>
      <c r="O26" s="192">
        <f t="shared" si="1"/>
        <v>0.017210417711089002</v>
      </c>
      <c r="P26" s="192">
        <f>IF(O26="","",SUM($O$20:O26))</f>
        <v>0.45003548693260931</v>
      </c>
      <c r="Q26" s="192">
        <f t="shared" si="6"/>
        <v>10.110716115619201</v>
      </c>
      <c r="R26" s="193">
        <f>IF(J26="Duplex",VLOOKUP(M26,'Características dos Cabos MX CH'!$C$12:$I$14,5),(IF(J26="Triplex",VLOOKUP(M26,'Características dos Cabos MX CH'!$C$15:$J$20,5),(IF(J26="Quadruplex",VLOOKUP(M26,'Características dos Cabos MX CH'!$C$21:$K$27,5),(IF(J26="13",VLOOKUP(M26,'Características dos Cabos MX CH'!$C$15:$L$20,5),"")))))))</f>
        <v>190</v>
      </c>
      <c r="S26" s="193">
        <f>IF(J26="Duplex",VLOOKUP(M26,'Características dos Cabos MX CH'!$C$12:$I$14,6),(IF(J26="Triplex",VLOOKUP(M26,'Características dos Cabos MX CH'!$C$15:$J$20,6),(IF(J26="Quadruplex",VLOOKUP(M26,'Características dos Cabos MX CH'!$C$21:$K$27,6),(IF(J26="13",VLOOKUP(M26,'Características dos Cabos MX CH'!$C$15:$L$20,6),"")))))))</f>
        <v>225</v>
      </c>
      <c r="T26" s="194">
        <f t="shared" si="7"/>
        <v>0.044936516069418675</v>
      </c>
      <c r="U26" s="447">
        <f>IF(J26="Duplex",VLOOKUP(M26,'Características dos Cabos MX CH'!$C$12:$I$14,2),(IF(J26="Triplex",VLOOKUP(M26,'Características dos Cabos MX CH'!$C$15:$J$20,2),(IF(J26="Quadruplex",VLOOKUP(M26,'Características dos Cabos MX CH'!$C$21:$K$27,2),(IF(J26="13",VLOOKUP(M26,'Características dos Cabos MX CH'!$C$15:$L$20,2),"")))))))</f>
        <v>0.57869999999999999</v>
      </c>
      <c r="V26" s="193">
        <f>IF(J26="Duplex",VLOOKUP(M26,'Características dos Cabos MX CH'!$C$12:$I$14,3),(IF(J26="Triplex",VLOOKUP(M26,'Características dos Cabos MX CH'!$C$15:$J$20,3),(IF(J26="Quadruplex",VLOOKUP(M26,'Características dos Cabos MX CH'!$C$21:$K$27,3),(IF(J26="13",VLOOKUP(M26,'Características dos Cabos MX CH'!$C$15:$L$20,3),"")))))))</f>
        <v>0.57869999999999999</v>
      </c>
      <c r="W26" s="195">
        <f t="shared" si="8"/>
        <v>2.1921256370177207</v>
      </c>
      <c r="X26" s="195">
        <f t="shared" si="9"/>
        <v>2.1921256370177207</v>
      </c>
      <c r="Y26" s="196">
        <f t="shared" si="10"/>
        <v>2.1921256370177207</v>
      </c>
      <c r="AA26" s="488" t="str">
        <f t="shared" si="2"/>
        <v>7</v>
      </c>
      <c r="AB26" s="488">
        <f t="shared" si="3"/>
        <v>70</v>
      </c>
      <c r="AC26" s="485">
        <f>SUM($N$20:N26)</f>
        <v>245</v>
      </c>
      <c r="AD26" s="401"/>
      <c r="AE26" s="492">
        <f t="shared" si="11"/>
        <v>6.6366641250000011</v>
      </c>
      <c r="AF26" s="475">
        <f t="shared" si="0"/>
        <v>0.017999999999999999</v>
      </c>
      <c r="AG26" s="474"/>
      <c r="AH26" s="420"/>
    </row>
    <row r="27" spans="1:34" ht="15" customHeight="1">
      <c r="A27" s="650"/>
      <c r="B27" s="660"/>
      <c r="C27" s="493"/>
      <c r="D27" s="494"/>
      <c r="E27" s="495"/>
      <c r="F27" s="357" t="str">
        <f t="shared" si="4"/>
        <v/>
      </c>
      <c r="G27" s="487"/>
      <c r="H27" s="190" t="str">
        <f>IF(AND(E27="",G27=""),"",SUM(F27:$G$31))</f>
        <v/>
      </c>
      <c r="I27" s="191"/>
      <c r="J27" s="490"/>
      <c r="K27" s="490"/>
      <c r="L27" s="197" t="str">
        <f>IF(J27="Duplex",VLOOKUP(M27,'Características dos Cabos M EX'!$C$12:$I$14,7),(IF(J27="Triplex",VLOOKUP(M27,'Características dos Cabos M EX'!$C$15:$J$20,8),(IF(J27="Quadruplex",VLOOKUP(M27,'Características dos Cabos M EX'!$C$21:$K$27,9),(IF(J27="13",VLOOKUP(M27,'Características dos Cabos M EX'!$C$15:$L$20,10),"")))))))</f>
        <v/>
      </c>
      <c r="M27" s="350" t="str">
        <f t="shared" si="5"/>
        <v/>
      </c>
      <c r="N27" s="491"/>
      <c r="O27" s="192" t="str">
        <f t="shared" si="1"/>
        <v/>
      </c>
      <c r="P27" s="192" t="str">
        <f>IF(O27="","",SUM($O$20:O27))</f>
        <v/>
      </c>
      <c r="Q27" s="192" t="str">
        <f t="shared" si="6"/>
        <v/>
      </c>
      <c r="R27" s="193" t="str">
        <f>IF(J27="Duplex",VLOOKUP(M27,'Características dos Cabos MX CH'!$C$12:$I$14,5),(IF(J27="Triplex",VLOOKUP(M27,'Características dos Cabos MX CH'!$C$15:$J$20,5),(IF(J27="Quadruplex",VLOOKUP(M27,'Características dos Cabos MX CH'!$C$21:$K$27,5),(IF(J27="13",VLOOKUP(M27,'Características dos Cabos MX CH'!$C$15:$L$20,5),"")))))))</f>
        <v/>
      </c>
      <c r="S27" s="193" t="str">
        <f>IF(J27="Duplex",VLOOKUP(M27,'Características dos Cabos MX CH'!$C$12:$I$14,6),(IF(J27="Triplex",VLOOKUP(M27,'Características dos Cabos MX CH'!$C$15:$J$20,6),(IF(J27="Quadruplex",VLOOKUP(M27,'Características dos Cabos MX CH'!$C$21:$K$27,6),(IF(J27="13",VLOOKUP(M27,'Características dos Cabos MX CH'!$C$15:$L$20,6),"")))))))</f>
        <v/>
      </c>
      <c r="T27" s="194" t="str">
        <f t="shared" si="7"/>
        <v/>
      </c>
      <c r="U27" s="447" t="str">
        <f>IF(J27="Duplex",VLOOKUP(M27,'Características dos Cabos MX CH'!$C$12:$I$14,2),(IF(J27="Triplex",VLOOKUP(M27,'Características dos Cabos MX CH'!$C$15:$J$20,2),(IF(J27="Quadruplex",VLOOKUP(M27,'Características dos Cabos MX CH'!$C$21:$K$27,2),(IF(J27="13",VLOOKUP(M27,'Características dos Cabos MX CH'!$C$15:$L$20,2),"")))))))</f>
        <v/>
      </c>
      <c r="V27" s="193" t="str">
        <f>IF(J27="Duplex",VLOOKUP(M27,'Características dos Cabos MX CH'!$C$12:$I$14,3),(IF(J27="Triplex",VLOOKUP(M27,'Características dos Cabos MX CH'!$C$15:$J$20,3),(IF(J27="Quadruplex",VLOOKUP(M27,'Características dos Cabos MX CH'!$C$21:$K$27,3),(IF(J27="13",VLOOKUP(M27,'Características dos Cabos MX CH'!$C$15:$L$20,3),"")))))))</f>
        <v/>
      </c>
      <c r="W27" s="195" t="str">
        <f t="shared" si="8"/>
        <v/>
      </c>
      <c r="X27" s="195" t="str">
        <f t="shared" si="9"/>
        <v/>
      </c>
      <c r="Y27" s="196" t="str">
        <f t="shared" si="10"/>
        <v/>
      </c>
      <c r="AA27" s="488">
        <f t="shared" si="2"/>
        <v>0</v>
      </c>
      <c r="AB27" s="488">
        <f t="shared" si="3"/>
        <v>0</v>
      </c>
      <c r="AC27" s="485">
        <f>SUM($N$20:N27)</f>
        <v>245</v>
      </c>
      <c r="AD27" s="401"/>
      <c r="AE27" s="492" t="str">
        <f t="shared" si="11"/>
        <v/>
      </c>
      <c r="AF27" s="475">
        <f t="shared" si="0"/>
        <v>0</v>
      </c>
      <c r="AG27" s="474"/>
      <c r="AH27" s="420"/>
    </row>
    <row r="28" spans="1:34" ht="15" customHeight="1">
      <c r="A28" s="650"/>
      <c r="B28" s="660"/>
      <c r="C28" s="493"/>
      <c r="D28" s="494"/>
      <c r="E28" s="495"/>
      <c r="F28" s="357" t="str">
        <f t="shared" si="4"/>
        <v/>
      </c>
      <c r="G28" s="487"/>
      <c r="H28" s="190" t="str">
        <f>IF(AND(E28="",G28=""),"",SUM(F28:$G$31))</f>
        <v/>
      </c>
      <c r="I28" s="191"/>
      <c r="J28" s="490"/>
      <c r="K28" s="490"/>
      <c r="L28" s="197" t="str">
        <f>IF(J28="Duplex",VLOOKUP(M28,'Características dos Cabos M EX'!$C$12:$I$14,7),(IF(J28="Triplex",VLOOKUP(M28,'Características dos Cabos M EX'!$C$15:$J$20,8),(IF(J28="Quadruplex",VLOOKUP(M28,'Características dos Cabos M EX'!$C$21:$K$27,9),(IF(J28="13",VLOOKUP(M28,'Características dos Cabos M EX'!$C$15:$L$20,10),"")))))))</f>
        <v/>
      </c>
      <c r="M28" s="350" t="str">
        <f t="shared" si="5"/>
        <v/>
      </c>
      <c r="N28" s="491"/>
      <c r="O28" s="192" t="str">
        <f t="shared" si="1"/>
        <v/>
      </c>
      <c r="P28" s="192" t="str">
        <f>IF(O28="","",SUM($O$20:O28))</f>
        <v/>
      </c>
      <c r="Q28" s="192" t="str">
        <f t="shared" si="6"/>
        <v/>
      </c>
      <c r="R28" s="193" t="str">
        <f>IF(J28="Duplex",VLOOKUP(M28,'Características dos Cabos MX CH'!$C$12:$I$14,5),(IF(J28="Triplex",VLOOKUP(M28,'Características dos Cabos MX CH'!$C$15:$J$20,5),(IF(J28="Quadruplex",VLOOKUP(M28,'Características dos Cabos MX CH'!$C$21:$K$27,5),(IF(J28="13",VLOOKUP(M28,'Características dos Cabos MX CH'!$C$15:$L$20,5),"")))))))</f>
        <v/>
      </c>
      <c r="S28" s="193" t="str">
        <f>IF(J28="Duplex",VLOOKUP(M28,'Características dos Cabos MX CH'!$C$12:$I$14,6),(IF(J28="Triplex",VLOOKUP(M28,'Características dos Cabos MX CH'!$C$15:$J$20,6),(IF(J28="Quadruplex",VLOOKUP(M28,'Características dos Cabos MX CH'!$C$21:$K$27,6),(IF(J28="13",VLOOKUP(M28,'Características dos Cabos MX CH'!$C$15:$L$20,6),"")))))))</f>
        <v/>
      </c>
      <c r="T28" s="194" t="str">
        <f t="shared" si="7"/>
        <v/>
      </c>
      <c r="U28" s="447" t="str">
        <f>IF(J28="Duplex",VLOOKUP(M28,'Características dos Cabos MX CH'!$C$12:$I$14,2),(IF(J28="Triplex",VLOOKUP(M28,'Características dos Cabos MX CH'!$C$15:$J$20,2),(IF(J28="Quadruplex",VLOOKUP(M28,'Características dos Cabos MX CH'!$C$21:$K$27,2),(IF(J28="13",VLOOKUP(M28,'Características dos Cabos MX CH'!$C$15:$L$20,2),"")))))))</f>
        <v/>
      </c>
      <c r="V28" s="193" t="str">
        <f>IF(J28="Duplex",VLOOKUP(M28,'Características dos Cabos MX CH'!$C$12:$I$14,3),(IF(J28="Triplex",VLOOKUP(M28,'Características dos Cabos MX CH'!$C$15:$J$20,3),(IF(J28="Quadruplex",VLOOKUP(M28,'Características dos Cabos MX CH'!$C$21:$K$27,3),(IF(J28="13",VLOOKUP(M28,'Características dos Cabos MX CH'!$C$15:$L$20,3),"")))))))</f>
        <v/>
      </c>
      <c r="W28" s="195" t="str">
        <f t="shared" si="8"/>
        <v/>
      </c>
      <c r="X28" s="195" t="str">
        <f t="shared" si="9"/>
        <v/>
      </c>
      <c r="Y28" s="196" t="str">
        <f t="shared" si="10"/>
        <v/>
      </c>
      <c r="AA28" s="488">
        <f t="shared" si="2"/>
        <v>0</v>
      </c>
      <c r="AB28" s="488">
        <f t="shared" si="3"/>
        <v>0</v>
      </c>
      <c r="AC28" s="485">
        <f>SUM($N$20:N28)</f>
        <v>245</v>
      </c>
      <c r="AD28" s="401"/>
      <c r="AE28" s="492" t="str">
        <f t="shared" si="11"/>
        <v/>
      </c>
      <c r="AF28" s="475">
        <f t="shared" si="0"/>
        <v>0</v>
      </c>
      <c r="AG28" s="474"/>
      <c r="AH28" s="420"/>
    </row>
    <row r="29" spans="1:34" ht="15" customHeight="1">
      <c r="A29" s="650"/>
      <c r="B29" s="660"/>
      <c r="C29" s="493"/>
      <c r="D29" s="494"/>
      <c r="E29" s="495"/>
      <c r="F29" s="357" t="str">
        <f t="shared" si="4"/>
        <v/>
      </c>
      <c r="G29" s="487"/>
      <c r="H29" s="190" t="str">
        <f>IF(AND(E29="",G29=""),"",SUM(F29:$G$31))</f>
        <v/>
      </c>
      <c r="I29" s="191"/>
      <c r="J29" s="490"/>
      <c r="K29" s="490"/>
      <c r="L29" s="197" t="str">
        <f>IF(J29="Duplex",VLOOKUP(M29,'Características dos Cabos M EX'!$C$12:$I$14,7),(IF(J29="Triplex",VLOOKUP(M29,'Características dos Cabos M EX'!$C$15:$J$20,8),(IF(J29="Quadruplex",VLOOKUP(M29,'Características dos Cabos M EX'!$C$21:$K$27,9),(IF(J29="13",VLOOKUP(M29,'Características dos Cabos M EX'!$C$15:$L$20,10),"")))))))</f>
        <v/>
      </c>
      <c r="M29" s="350" t="str">
        <f t="shared" si="5"/>
        <v/>
      </c>
      <c r="N29" s="491"/>
      <c r="O29" s="192" t="str">
        <f t="shared" si="1"/>
        <v/>
      </c>
      <c r="P29" s="192" t="str">
        <f>IF(O29="","",SUM($O$20:O29))</f>
        <v/>
      </c>
      <c r="Q29" s="192" t="str">
        <f t="shared" si="6"/>
        <v/>
      </c>
      <c r="R29" s="193" t="str">
        <f>IF(J29="Duplex",VLOOKUP(M29,'Características dos Cabos MX CH'!$C$12:$I$14,5),(IF(J29="Triplex",VLOOKUP(M29,'Características dos Cabos MX CH'!$C$15:$J$20,5),(IF(J29="Quadruplex",VLOOKUP(M29,'Características dos Cabos MX CH'!$C$21:$K$27,5),(IF(J29="13",VLOOKUP(M29,'Características dos Cabos MX CH'!$C$15:$L$20,5),"")))))))</f>
        <v/>
      </c>
      <c r="S29" s="193" t="str">
        <f>IF(J29="Duplex",VLOOKUP(M29,'Características dos Cabos MX CH'!$C$12:$I$14,6),(IF(J29="Triplex",VLOOKUP(M29,'Características dos Cabos MX CH'!$C$15:$J$20,6),(IF(J29="Quadruplex",VLOOKUP(M29,'Características dos Cabos MX CH'!$C$21:$K$27,6),(IF(J29="13",VLOOKUP(M29,'Características dos Cabos MX CH'!$C$15:$L$20,6),"")))))))</f>
        <v/>
      </c>
      <c r="T29" s="194" t="str">
        <f t="shared" si="7"/>
        <v/>
      </c>
      <c r="U29" s="447" t="str">
        <f>IF(J29="Duplex",VLOOKUP(M29,'Características dos Cabos MX CH'!$C$12:$I$14,2),(IF(J29="Triplex",VLOOKUP(M29,'Características dos Cabos MX CH'!$C$15:$J$20,2),(IF(J29="Quadruplex",VLOOKUP(M29,'Características dos Cabos MX CH'!$C$21:$K$27,2),(IF(J29="13",VLOOKUP(M29,'Características dos Cabos MX CH'!$C$15:$L$20,2),"")))))))</f>
        <v/>
      </c>
      <c r="V29" s="193" t="str">
        <f>IF(J29="Duplex",VLOOKUP(M29,'Características dos Cabos MX CH'!$C$12:$I$14,3),(IF(J29="Triplex",VLOOKUP(M29,'Características dos Cabos MX CH'!$C$15:$J$20,3),(IF(J29="Quadruplex",VLOOKUP(M29,'Características dos Cabos MX CH'!$C$21:$K$27,3),(IF(J29="13",VLOOKUP(M29,'Características dos Cabos MX CH'!$C$15:$L$20,3),"")))))))</f>
        <v/>
      </c>
      <c r="W29" s="195" t="str">
        <f t="shared" si="8"/>
        <v/>
      </c>
      <c r="X29" s="195" t="str">
        <f t="shared" si="9"/>
        <v/>
      </c>
      <c r="Y29" s="196" t="str">
        <f t="shared" si="10"/>
        <v/>
      </c>
      <c r="AA29" s="488">
        <f t="shared" si="2"/>
        <v>0</v>
      </c>
      <c r="AB29" s="488">
        <f t="shared" si="3"/>
        <v>0</v>
      </c>
      <c r="AC29" s="485">
        <f>SUM($N$20:N29)</f>
        <v>245</v>
      </c>
      <c r="AD29" s="401"/>
      <c r="AE29" s="492" t="str">
        <f t="shared" si="11"/>
        <v/>
      </c>
      <c r="AF29" s="475">
        <f t="shared" si="0"/>
        <v>0</v>
      </c>
      <c r="AG29" s="474"/>
      <c r="AH29" s="420"/>
    </row>
    <row r="30" spans="1:34" ht="15" customHeight="1">
      <c r="A30" s="650"/>
      <c r="B30" s="660"/>
      <c r="C30" s="493"/>
      <c r="D30" s="494"/>
      <c r="E30" s="495"/>
      <c r="F30" s="357" t="str">
        <f t="shared" si="4"/>
        <v/>
      </c>
      <c r="G30" s="487"/>
      <c r="H30" s="190" t="str">
        <f>IF(AND(E30="",G30=""),"",SUM(F30:$G$31))</f>
        <v/>
      </c>
      <c r="I30" s="191"/>
      <c r="J30" s="490"/>
      <c r="K30" s="490"/>
      <c r="L30" s="197" t="str">
        <f>IF(J30="Duplex",VLOOKUP(M30,'Características dos Cabos M EX'!$C$12:$I$14,7),(IF(J30="Triplex",VLOOKUP(M30,'Características dos Cabos M EX'!$C$15:$J$20,8),(IF(J30="Quadruplex",VLOOKUP(M30,'Características dos Cabos M EX'!$C$21:$K$27,9),(IF(J30="13",VLOOKUP(M30,'Características dos Cabos M EX'!$C$15:$L$20,10),"")))))))</f>
        <v/>
      </c>
      <c r="M30" s="350" t="str">
        <f t="shared" si="5"/>
        <v/>
      </c>
      <c r="N30" s="491"/>
      <c r="O30" s="192" t="str">
        <f t="shared" si="1"/>
        <v/>
      </c>
      <c r="P30" s="192" t="str">
        <f>IF(O30="","",SUM($O$20:O30))</f>
        <v/>
      </c>
      <c r="Q30" s="192" t="str">
        <f t="shared" si="6"/>
        <v/>
      </c>
      <c r="R30" s="193" t="str">
        <f>IF(J30="Duplex",VLOOKUP(M30,'Características dos Cabos MX CH'!$C$12:$I$14,5),(IF(J30="Triplex",VLOOKUP(M30,'Características dos Cabos MX CH'!$C$15:$J$20,5),(IF(J30="Quadruplex",VLOOKUP(M30,'Características dos Cabos MX CH'!$C$21:$K$27,5),(IF(J30="13",VLOOKUP(M30,'Características dos Cabos MX CH'!$C$15:$L$20,5),"")))))))</f>
        <v/>
      </c>
      <c r="S30" s="193" t="str">
        <f>IF(J30="Duplex",VLOOKUP(M30,'Características dos Cabos MX CH'!$C$12:$I$14,6),(IF(J30="Triplex",VLOOKUP(M30,'Características dos Cabos MX CH'!$C$15:$J$20,6),(IF(J30="Quadruplex",VLOOKUP(M30,'Características dos Cabos MX CH'!$C$21:$K$27,6),(IF(J30="13",VLOOKUP(M30,'Características dos Cabos MX CH'!$C$15:$L$20,6),"")))))))</f>
        <v/>
      </c>
      <c r="T30" s="194" t="str">
        <f t="shared" si="7"/>
        <v/>
      </c>
      <c r="U30" s="447" t="str">
        <f>IF(J30="Duplex",VLOOKUP(M30,'Características dos Cabos MX CH'!$C$12:$I$14,2),(IF(J30="Triplex",VLOOKUP(M30,'Características dos Cabos MX CH'!$C$15:$J$20,2),(IF(J30="Quadruplex",VLOOKUP(M30,'Características dos Cabos MX CH'!$C$21:$K$27,2),(IF(J30="13",VLOOKUP(M30,'Características dos Cabos MX CH'!$C$15:$L$20,2),"")))))))</f>
        <v/>
      </c>
      <c r="V30" s="193" t="str">
        <f>IF(J30="Duplex",VLOOKUP(M30,'Características dos Cabos MX CH'!$C$12:$I$14,3),(IF(J30="Triplex",VLOOKUP(M30,'Características dos Cabos MX CH'!$C$15:$J$20,3),(IF(J30="Quadruplex",VLOOKUP(M30,'Características dos Cabos MX CH'!$C$21:$K$27,3),(IF(J30="13",VLOOKUP(M30,'Características dos Cabos MX CH'!$C$15:$L$20,3),"")))))))</f>
        <v/>
      </c>
      <c r="W30" s="195" t="str">
        <f t="shared" si="8"/>
        <v/>
      </c>
      <c r="X30" s="195" t="str">
        <f t="shared" si="9"/>
        <v/>
      </c>
      <c r="Y30" s="196" t="str">
        <f t="shared" si="10"/>
        <v/>
      </c>
      <c r="AA30" s="488">
        <f t="shared" si="2"/>
        <v>0</v>
      </c>
      <c r="AB30" s="488">
        <f t="shared" si="3"/>
        <v>0</v>
      </c>
      <c r="AC30" s="485">
        <f>SUM($N$20:N30)</f>
        <v>245</v>
      </c>
      <c r="AD30" s="401"/>
      <c r="AE30" s="492" t="str">
        <f t="shared" si="11"/>
        <v/>
      </c>
      <c r="AF30" s="475">
        <f t="shared" si="0"/>
        <v>0</v>
      </c>
      <c r="AG30" s="474"/>
      <c r="AH30" s="420"/>
    </row>
    <row r="31" spans="1:34" ht="15" customHeight="1" thickBot="1">
      <c r="A31" s="650"/>
      <c r="B31" s="661"/>
      <c r="C31" s="496"/>
      <c r="D31" s="497"/>
      <c r="E31" s="498"/>
      <c r="F31" s="357" t="str">
        <f t="shared" si="4"/>
        <v/>
      </c>
      <c r="G31" s="499"/>
      <c r="H31" s="200" t="str">
        <f>IF(AND(E31="",G31=""),"",SUM(F31:$G$31))</f>
        <v/>
      </c>
      <c r="I31" s="201"/>
      <c r="J31" s="500"/>
      <c r="K31" s="500"/>
      <c r="L31" s="197" t="str">
        <f>IF(J31="Duplex",VLOOKUP(M31,'Características dos Cabos M EX'!$C$12:$I$14,7),(IF(J31="Triplex",VLOOKUP(M31,'Características dos Cabos M EX'!$C$15:$J$20,8),(IF(J31="Quadruplex",VLOOKUP(M31,'Características dos Cabos M EX'!$C$21:$K$27,9),(IF(J31="13",VLOOKUP(M31,'Características dos Cabos M EX'!$C$15:$L$20,10),"")))))))</f>
        <v/>
      </c>
      <c r="M31" s="353" t="str">
        <f t="shared" si="5"/>
        <v/>
      </c>
      <c r="N31" s="491"/>
      <c r="O31" s="203" t="str">
        <f t="shared" si="1"/>
        <v/>
      </c>
      <c r="P31" s="203" t="str">
        <f>IF(O31="","",SUM($O$20:O31))</f>
        <v/>
      </c>
      <c r="Q31" s="203" t="str">
        <f t="shared" si="6"/>
        <v/>
      </c>
      <c r="R31" s="204" t="str">
        <f>IF(J31="Duplex",VLOOKUP(M31,'Características dos Cabos MX CH'!$C$12:$I$14,5),(IF(J31="Triplex",VLOOKUP(M31,'Características dos Cabos MX CH'!$C$15:$J$20,5),(IF(J31="Quadruplex",VLOOKUP(M31,'Características dos Cabos MX CH'!$C$21:$K$27,5),(IF(J31="13",VLOOKUP(M31,'Características dos Cabos MX CH'!$C$15:$L$20,5),"")))))))</f>
        <v/>
      </c>
      <c r="S31" s="204" t="str">
        <f>IF(J31="Duplex",VLOOKUP(M31,'Características dos Cabos MX CH'!$C$12:$I$14,6),(IF(J31="Triplex",VLOOKUP(M31,'Características dos Cabos MX CH'!$C$15:$J$20,6),(IF(J31="Quadruplex",VLOOKUP(M31,'Características dos Cabos MX CH'!$C$21:$K$27,6),(IF(J31="13",VLOOKUP(M31,'Características dos Cabos MX CH'!$C$15:$L$20,6),"")))))))</f>
        <v/>
      </c>
      <c r="T31" s="205" t="str">
        <f t="shared" si="7"/>
        <v/>
      </c>
      <c r="U31" s="448" t="str">
        <f>IF(J31="Duplex",VLOOKUP(M31,'Características dos Cabos MX CH'!$C$12:$I$14,2),(IF(J31="Triplex",VLOOKUP(M31,'Características dos Cabos MX CH'!$C$15:$J$20,2),(IF(J31="Quadruplex",VLOOKUP(M31,'Características dos Cabos MX CH'!$C$21:$K$27,2),(IF(J31="13",VLOOKUP(M31,'Características dos Cabos MX CH'!$C$15:$L$20,2),"")))))))</f>
        <v/>
      </c>
      <c r="V31" s="204" t="str">
        <f>IF(J31="Duplex",VLOOKUP(M31,'Características dos Cabos MX CH'!$C$12:$I$14,3),(IF(J31="Triplex",VLOOKUP(M31,'Características dos Cabos MX CH'!$C$15:$J$20,3),(IF(J31="Quadruplex",VLOOKUP(M31,'Características dos Cabos MX CH'!$C$21:$K$27,3),(IF(J31="13",VLOOKUP(M31,'Características dos Cabos MX CH'!$C$15:$L$20,3),"")))))))</f>
        <v/>
      </c>
      <c r="W31" s="206" t="str">
        <f t="shared" si="8"/>
        <v/>
      </c>
      <c r="X31" s="206" t="str">
        <f t="shared" si="9"/>
        <v/>
      </c>
      <c r="Y31" s="207" t="str">
        <f t="shared" si="10"/>
        <v/>
      </c>
      <c r="AA31" s="488">
        <f t="shared" si="2"/>
        <v>0</v>
      </c>
      <c r="AB31" s="488">
        <f t="shared" si="3"/>
        <v>0</v>
      </c>
      <c r="AC31" s="485">
        <f>SUM($N$20:N31)</f>
        <v>245</v>
      </c>
      <c r="AD31" s="401"/>
      <c r="AE31" s="492" t="str">
        <f t="shared" si="11"/>
        <v/>
      </c>
      <c r="AF31" s="475">
        <f t="shared" si="0"/>
        <v>0</v>
      </c>
      <c r="AG31" s="474"/>
      <c r="AH31" s="420"/>
    </row>
    <row r="32" spans="1:34" ht="15" customHeight="1" thickTop="1">
      <c r="A32" s="650"/>
      <c r="B32" s="649" t="s">
        <v>90</v>
      </c>
      <c r="C32" s="701" t="s">
        <v>64</v>
      </c>
      <c r="D32" s="663"/>
      <c r="E32" s="358" t="s">
        <v>64</v>
      </c>
      <c r="F32" s="357"/>
      <c r="G32" s="182" t="s">
        <v>64</v>
      </c>
      <c r="H32" s="182" t="s">
        <v>64</v>
      </c>
      <c r="I32" s="183"/>
      <c r="J32" s="182" t="s">
        <v>64</v>
      </c>
      <c r="K32" s="182" t="s">
        <v>64</v>
      </c>
      <c r="L32" s="182" t="s">
        <v>64</v>
      </c>
      <c r="M32" s="185"/>
      <c r="N32" s="182" t="s">
        <v>64</v>
      </c>
      <c r="O32" s="184" t="s">
        <v>67</v>
      </c>
      <c r="P32" s="184" t="s">
        <v>67</v>
      </c>
      <c r="Q32" s="184" t="s">
        <v>67</v>
      </c>
      <c r="R32" s="186" t="s">
        <v>122</v>
      </c>
      <c r="S32" s="186" t="s">
        <v>123</v>
      </c>
      <c r="T32" s="184" t="s">
        <v>67</v>
      </c>
      <c r="U32" s="186" t="s">
        <v>67</v>
      </c>
      <c r="V32" s="186"/>
      <c r="W32" s="186" t="s">
        <v>67</v>
      </c>
      <c r="X32" s="186" t="s">
        <v>64</v>
      </c>
      <c r="Y32" s="187" t="s">
        <v>65</v>
      </c>
      <c r="AA32" s="488"/>
      <c r="AB32" s="485"/>
      <c r="AC32" s="485"/>
      <c r="AD32" s="401"/>
      <c r="AE32" s="492"/>
      <c r="AF32" s="475" t="str">
        <f t="shared" si="0"/>
        <v>-------------</v>
      </c>
      <c r="AG32" s="474">
        <f>SQRT(3)*(Q33+Q45)*0.22</f>
        <v>26.968901980263169</v>
      </c>
      <c r="AH32" s="420"/>
    </row>
    <row r="33" spans="1:34" ht="15" customHeight="1">
      <c r="A33" s="650"/>
      <c r="B33" s="650"/>
      <c r="C33" s="359" t="s">
        <v>71</v>
      </c>
      <c r="D33" s="501">
        <v>12</v>
      </c>
      <c r="E33" s="502">
        <v>3</v>
      </c>
      <c r="F33" s="357">
        <f t="shared" si="4"/>
        <v>6.6366641250000011</v>
      </c>
      <c r="G33" s="487">
        <v>0.017999999999999999</v>
      </c>
      <c r="H33" s="190">
        <f>IF(AND(E33="",G33=""),"",SUM(F33:$G$44))</f>
        <v>46.582648875000018</v>
      </c>
      <c r="I33" s="191"/>
      <c r="J33" s="490" t="s">
        <v>237</v>
      </c>
      <c r="K33" s="490">
        <v>120</v>
      </c>
      <c r="L33" s="197">
        <f>IF(J33="Duplex",VLOOKUP(M33,'Características dos Cabos M EX'!$C$12:$I$14,7),(IF(J33="Triplex",VLOOKUP(M33,'Características dos Cabos M EX'!$C$15:$J$20,8),(IF(J33="Quadruplex",VLOOKUP(M33,'Características dos Cabos M EX'!$C$21:$K$27,9),(IF(J33="13",VLOOKUP(M33,'Características dos Cabos M EX'!$C$15:$L$20,10),"")))))))</f>
        <v>6.842105263157896E-05</v>
      </c>
      <c r="M33" s="350" t="str">
        <f t="shared" si="5"/>
        <v>g</v>
      </c>
      <c r="N33" s="491">
        <v>35</v>
      </c>
      <c r="O33" s="192">
        <f t="shared" si="1"/>
        <v>0.11155318546381586</v>
      </c>
      <c r="P33" s="192">
        <f>IF(O33="","",SUM($O$33:O33))</f>
        <v>0.11155318546381586</v>
      </c>
      <c r="Q33" s="192">
        <f t="shared" si="6"/>
        <v>70.775012809334427</v>
      </c>
      <c r="R33" s="193">
        <f>IF(J33="Duplex",VLOOKUP(M33,'Características dos Cabos MX CH'!$C$12:$I$14,5),(IF(J33="Triplex",VLOOKUP(M33,'Características dos Cabos MX CH'!$C$15:$J$20,5),(IF(J33="Quadruplex",VLOOKUP(M33,'Características dos Cabos MX CH'!$C$21:$K$27,5),(IF(J33="13",VLOOKUP(M33,'Características dos Cabos MX CH'!$C$15:$L$20,5),"")))))))</f>
        <v>268</v>
      </c>
      <c r="S33" s="193">
        <f>IF(J33="Duplex",VLOOKUP(M33,'Características dos Cabos MX CH'!$C$12:$I$14,6),(IF(J33="Triplex",VLOOKUP(M33,'Características dos Cabos MX CH'!$C$15:$J$20,6),(IF(J33="Quadruplex",VLOOKUP(M33,'Características dos Cabos MX CH'!$C$21:$K$27,6),(IF(J33="13",VLOOKUP(M33,'Características dos Cabos MX CH'!$C$15:$L$20,6),"")))))))</f>
        <v>319</v>
      </c>
      <c r="T33" s="194">
        <f t="shared" si="7"/>
        <v>0.22186524391640886</v>
      </c>
      <c r="U33" s="447">
        <f>IF(J33="Duplex",VLOOKUP(M33,'Características dos Cabos MX CH'!$C$12:$I$14,2),(IF(J33="Triplex",VLOOKUP(M33,'Características dos Cabos MX CH'!$C$15:$J$20,2),(IF(J33="Quadruplex",VLOOKUP(M33,'Características dos Cabos MX CH'!$C$21:$K$27,2),(IF(J33="13",VLOOKUP(M33,'Características dos Cabos MX CH'!$C$15:$L$20,2),"")))))))</f>
        <v>0.34239999999999998</v>
      </c>
      <c r="V33" s="193">
        <f>IF(J33="Duplex",VLOOKUP(M33,'Características dos Cabos MX CH'!$C$12:$I$14,3),(IF(J33="Triplex",VLOOKUP(M33,'Características dos Cabos MX CH'!$C$15:$J$20,3),(IF(J33="Quadruplex",VLOOKUP(M33,'Características dos Cabos MX CH'!$C$21:$K$27,3),(IF(J33="13",VLOOKUP(M33,'Características dos Cabos MX CH'!$C$15:$L$20,3),"")))))))</f>
        <v>0.34239999999999998</v>
      </c>
      <c r="W33" s="195">
        <f t="shared" si="8"/>
        <v>16.726253175543782</v>
      </c>
      <c r="X33" s="195">
        <f t="shared" si="9"/>
        <v>16.726253175543782</v>
      </c>
      <c r="Y33" s="196">
        <f t="shared" si="10"/>
        <v>16.726253175543782</v>
      </c>
      <c r="AA33" s="488">
        <f t="shared" si="2"/>
        <v>12</v>
      </c>
      <c r="AB33" s="488">
        <f t="shared" si="3"/>
        <v>120</v>
      </c>
      <c r="AC33" s="485">
        <f>SUM($N$33:N33)</f>
        <v>35</v>
      </c>
      <c r="AD33" s="401"/>
      <c r="AE33" s="492">
        <f t="shared" si="11"/>
        <v>6.6366641250000011</v>
      </c>
      <c r="AF33" s="475">
        <f t="shared" si="0"/>
        <v>0.017999999999999999</v>
      </c>
      <c r="AG33" s="474"/>
      <c r="AH33" s="420"/>
    </row>
    <row r="34" spans="1:34" ht="15" customHeight="1">
      <c r="A34" s="650"/>
      <c r="B34" s="650"/>
      <c r="C34" s="493" t="s">
        <v>242</v>
      </c>
      <c r="D34" s="494" t="s">
        <v>243</v>
      </c>
      <c r="E34" s="502">
        <v>3</v>
      </c>
      <c r="F34" s="357">
        <f t="shared" si="4"/>
        <v>6.6366641250000011</v>
      </c>
      <c r="G34" s="487">
        <v>0.017999999999999999</v>
      </c>
      <c r="H34" s="190">
        <f>IF(AND(E34="",G34=""),"",SUM(F34:$G$44))</f>
        <v>39.927984750000014</v>
      </c>
      <c r="I34" s="191"/>
      <c r="J34" s="490" t="s">
        <v>237</v>
      </c>
      <c r="K34" s="490">
        <v>120</v>
      </c>
      <c r="L34" s="197">
        <f>IF(J34="Duplex",VLOOKUP(M34,'Características dos Cabos M EX'!$C$12:$I$14,7),(IF(J34="Triplex",VLOOKUP(M34,'Características dos Cabos M EX'!$C$15:$J$20,8),(IF(J34="Quadruplex",VLOOKUP(M34,'Características dos Cabos M EX'!$C$21:$K$27,9),(IF(J34="13",VLOOKUP(M34,'Características dos Cabos M EX'!$C$15:$L$20,10),"")))))))</f>
        <v>6.842105263157896E-05</v>
      </c>
      <c r="M34" s="350" t="str">
        <f t="shared" si="5"/>
        <v>g</v>
      </c>
      <c r="N34" s="491">
        <v>35</v>
      </c>
      <c r="O34" s="192">
        <f t="shared" si="1"/>
        <v>0.09561701611184216</v>
      </c>
      <c r="P34" s="192">
        <f>IF(O34="","",SUM($O$33:O34))</f>
        <v>0.20717020157565802</v>
      </c>
      <c r="Q34" s="192">
        <f t="shared" si="6"/>
        <v>60.664296693715222</v>
      </c>
      <c r="R34" s="193">
        <f>IF(J34="Duplex",VLOOKUP(M34,'Características dos Cabos MX CH'!$C$12:$I$14,5),(IF(J34="Triplex",VLOOKUP(M34,'Características dos Cabos MX CH'!$C$15:$J$20,5),(IF(J34="Quadruplex",VLOOKUP(M34,'Características dos Cabos MX CH'!$C$21:$K$27,5),(IF(J34="13",VLOOKUP(M34,'Características dos Cabos MX CH'!$C$15:$L$20,5),"")))))))</f>
        <v>268</v>
      </c>
      <c r="S34" s="193">
        <f>IF(J34="Duplex",VLOOKUP(M34,'Características dos Cabos MX CH'!$C$12:$I$14,6),(IF(J34="Triplex",VLOOKUP(M34,'Características dos Cabos MX CH'!$C$15:$J$20,6),(IF(J34="Quadruplex",VLOOKUP(M34,'Características dos Cabos MX CH'!$C$21:$K$27,6),(IF(J34="13",VLOOKUP(M34,'Características dos Cabos MX CH'!$C$15:$L$20,6),"")))))))</f>
        <v>319</v>
      </c>
      <c r="T34" s="194">
        <f t="shared" si="7"/>
        <v>0.1901702090712076</v>
      </c>
      <c r="U34" s="447">
        <f>IF(J34="Duplex",VLOOKUP(M34,'Características dos Cabos MX CH'!$C$12:$I$14,2),(IF(J34="Triplex",VLOOKUP(M34,'Características dos Cabos MX CH'!$C$15:$J$20,2),(IF(J34="Quadruplex",VLOOKUP(M34,'Características dos Cabos MX CH'!$C$21:$K$27,2),(IF(J34="13",VLOOKUP(M34,'Características dos Cabos MX CH'!$C$15:$L$20,2),"")))))))</f>
        <v>0.34239999999999998</v>
      </c>
      <c r="V34" s="193">
        <f>IF(J34="Duplex",VLOOKUP(M34,'Características dos Cabos MX CH'!$C$12:$I$14,3),(IF(J34="Triplex",VLOOKUP(M34,'Características dos Cabos MX CH'!$C$15:$J$20,3),(IF(J34="Quadruplex",VLOOKUP(M34,'Características dos Cabos MX CH'!$C$21:$K$27,3),(IF(J34="13",VLOOKUP(M34,'Características dos Cabos MX CH'!$C$15:$L$20,3),"")))))))</f>
        <v>0.34239999999999998</v>
      </c>
      <c r="W34" s="195">
        <f t="shared" si="8"/>
        <v>14.336788436180385</v>
      </c>
      <c r="X34" s="195">
        <f t="shared" si="9"/>
        <v>14.336788436180385</v>
      </c>
      <c r="Y34" s="196">
        <f t="shared" si="10"/>
        <v>14.336788436180385</v>
      </c>
      <c r="AA34" s="488" t="str">
        <f t="shared" si="2"/>
        <v>13</v>
      </c>
      <c r="AB34" s="488">
        <f t="shared" si="3"/>
        <v>120</v>
      </c>
      <c r="AC34" s="485">
        <f>SUM($N$33:N34)</f>
        <v>70</v>
      </c>
      <c r="AD34" s="401"/>
      <c r="AE34" s="492">
        <f t="shared" si="11"/>
        <v>6.6366641250000011</v>
      </c>
      <c r="AF34" s="475">
        <f t="shared" si="0"/>
        <v>0.017999999999999999</v>
      </c>
      <c r="AG34" s="474"/>
      <c r="AH34" s="420"/>
    </row>
    <row r="35" spans="1:34" ht="15" customHeight="1">
      <c r="A35" s="650"/>
      <c r="B35" s="650"/>
      <c r="C35" s="493" t="s">
        <v>243</v>
      </c>
      <c r="D35" s="494" t="s">
        <v>244</v>
      </c>
      <c r="E35" s="502">
        <v>3</v>
      </c>
      <c r="F35" s="357">
        <f t="shared" si="4"/>
        <v>6.6366641250000011</v>
      </c>
      <c r="G35" s="487">
        <v>0.017999999999999999</v>
      </c>
      <c r="H35" s="190">
        <f>IF(AND(E35="",G35=""),"",SUM(F35:$G$44))</f>
        <v>33.273320625000011</v>
      </c>
      <c r="I35" s="191"/>
      <c r="J35" s="490" t="s">
        <v>237</v>
      </c>
      <c r="K35" s="490">
        <v>120</v>
      </c>
      <c r="L35" s="197">
        <f>IF(J35="Duplex",VLOOKUP(M35,'Características dos Cabos M EX'!$C$12:$I$14,7),(IF(J35="Triplex",VLOOKUP(M35,'Características dos Cabos M EX'!$C$15:$J$20,8),(IF(J35="Quadruplex",VLOOKUP(M35,'Características dos Cabos M EX'!$C$21:$K$27,9),(IF(J35="13",VLOOKUP(M35,'Características dos Cabos M EX'!$C$15:$L$20,10),"")))))))</f>
        <v>6.842105263157896E-05</v>
      </c>
      <c r="M35" s="350" t="str">
        <f t="shared" si="5"/>
        <v>g</v>
      </c>
      <c r="N35" s="491">
        <v>35</v>
      </c>
      <c r="O35" s="192">
        <f t="shared" si="1"/>
        <v>0.079680846759868459</v>
      </c>
      <c r="P35" s="192">
        <f>IF(O35="","",SUM($O$33:O35))</f>
        <v>0.28685104833552649</v>
      </c>
      <c r="Q35" s="192">
        <f t="shared" si="6"/>
        <v>50.55358057809601</v>
      </c>
      <c r="R35" s="193">
        <f>IF(J35="Duplex",VLOOKUP(M35,'Características dos Cabos MX CH'!$C$12:$I$14,5),(IF(J35="Triplex",VLOOKUP(M35,'Características dos Cabos MX CH'!$C$15:$J$20,5),(IF(J35="Quadruplex",VLOOKUP(M35,'Características dos Cabos MX CH'!$C$21:$K$27,5),(IF(J35="13",VLOOKUP(M35,'Características dos Cabos MX CH'!$C$15:$L$20,5),"")))))))</f>
        <v>268</v>
      </c>
      <c r="S35" s="193">
        <f>IF(J35="Duplex",VLOOKUP(M35,'Características dos Cabos MX CH'!$C$12:$I$14,6),(IF(J35="Triplex",VLOOKUP(M35,'Características dos Cabos MX CH'!$C$15:$J$20,6),(IF(J35="Quadruplex",VLOOKUP(M35,'Características dos Cabos MX CH'!$C$21:$K$27,6),(IF(J35="13",VLOOKUP(M35,'Características dos Cabos MX CH'!$C$15:$L$20,6),"")))))))</f>
        <v>319</v>
      </c>
      <c r="T35" s="194">
        <f t="shared" si="7"/>
        <v>0.15847517422600629</v>
      </c>
      <c r="U35" s="447">
        <f>IF(J35="Duplex",VLOOKUP(M35,'Características dos Cabos MX CH'!$C$12:$I$14,2),(IF(J35="Triplex",VLOOKUP(M35,'Características dos Cabos MX CH'!$C$15:$J$20,2),(IF(J35="Quadruplex",VLOOKUP(M35,'Características dos Cabos MX CH'!$C$21:$K$27,2),(IF(J35="13",VLOOKUP(M35,'Características dos Cabos MX CH'!$C$15:$L$20,2),"")))))))</f>
        <v>0.34239999999999998</v>
      </c>
      <c r="V35" s="193">
        <f>IF(J35="Duplex",VLOOKUP(M35,'Características dos Cabos MX CH'!$C$12:$I$14,3),(IF(J35="Triplex",VLOOKUP(M35,'Características dos Cabos MX CH'!$C$15:$J$20,3),(IF(J35="Quadruplex",VLOOKUP(M35,'Características dos Cabos MX CH'!$C$21:$K$27,3),(IF(J35="13",VLOOKUP(M35,'Características dos Cabos MX CH'!$C$15:$L$20,3),"")))))))</f>
        <v>0.34239999999999998</v>
      </c>
      <c r="W35" s="195">
        <f t="shared" si="8"/>
        <v>11.947323696816987</v>
      </c>
      <c r="X35" s="195">
        <f t="shared" si="9"/>
        <v>11.947323696816987</v>
      </c>
      <c r="Y35" s="196">
        <f t="shared" si="10"/>
        <v>11.947323696816987</v>
      </c>
      <c r="AA35" s="488" t="str">
        <f t="shared" si="2"/>
        <v>14</v>
      </c>
      <c r="AB35" s="488">
        <f t="shared" si="3"/>
        <v>120</v>
      </c>
      <c r="AC35" s="485">
        <f>SUM($N$33:N35)</f>
        <v>105</v>
      </c>
      <c r="AD35" s="401"/>
      <c r="AE35" s="492">
        <f t="shared" si="11"/>
        <v>6.6366641250000011</v>
      </c>
      <c r="AF35" s="475">
        <f t="shared" si="0"/>
        <v>0.017999999999999999</v>
      </c>
      <c r="AG35" s="474"/>
      <c r="AH35" s="420"/>
    </row>
    <row r="36" spans="1:34" ht="15" customHeight="1">
      <c r="A36" s="650"/>
      <c r="B36" s="650"/>
      <c r="C36" s="493" t="s">
        <v>244</v>
      </c>
      <c r="D36" s="494" t="s">
        <v>245</v>
      </c>
      <c r="E36" s="502">
        <v>3</v>
      </c>
      <c r="F36" s="357">
        <f t="shared" si="4"/>
        <v>6.6366641250000011</v>
      </c>
      <c r="G36" s="487">
        <v>0.017999999999999999</v>
      </c>
      <c r="H36" s="190">
        <f>IF(AND(E36="",G36=""),"",SUM(F36:$G$44))</f>
        <v>26.618656500000007</v>
      </c>
      <c r="I36" s="191"/>
      <c r="J36" s="490" t="s">
        <v>237</v>
      </c>
      <c r="K36" s="490">
        <v>120</v>
      </c>
      <c r="L36" s="197">
        <f>IF(J36="Duplex",VLOOKUP(M36,'Características dos Cabos M EX'!$C$12:$I$14,7),(IF(J36="Triplex",VLOOKUP(M36,'Características dos Cabos M EX'!$C$15:$J$20,8),(IF(J36="Quadruplex",VLOOKUP(M36,'Características dos Cabos M EX'!$C$21:$K$27,9),(IF(J36="13",VLOOKUP(M36,'Características dos Cabos M EX'!$C$15:$L$20,10),"")))))))</f>
        <v>6.842105263157896E-05</v>
      </c>
      <c r="M36" s="350" t="str">
        <f t="shared" si="5"/>
        <v>g</v>
      </c>
      <c r="N36" s="491">
        <v>35</v>
      </c>
      <c r="O36" s="192">
        <f t="shared" si="1"/>
        <v>0.063744677407894773</v>
      </c>
      <c r="P36" s="192">
        <f>IF(O36="","",SUM($O$33:O36))</f>
        <v>0.35059572574342124</v>
      </c>
      <c r="Q36" s="192">
        <f t="shared" si="6"/>
        <v>40.442864462476813</v>
      </c>
      <c r="R36" s="193">
        <f>IF(J36="Duplex",VLOOKUP(M36,'Características dos Cabos MX CH'!$C$12:$I$14,5),(IF(J36="Triplex",VLOOKUP(M36,'Características dos Cabos MX CH'!$C$15:$J$20,5),(IF(J36="Quadruplex",VLOOKUP(M36,'Características dos Cabos MX CH'!$C$21:$K$27,5),(IF(J36="13",VLOOKUP(M36,'Características dos Cabos MX CH'!$C$15:$L$20,5),"")))))))</f>
        <v>268</v>
      </c>
      <c r="S36" s="193">
        <f>IF(J36="Duplex",VLOOKUP(M36,'Características dos Cabos MX CH'!$C$12:$I$14,6),(IF(J36="Triplex",VLOOKUP(M36,'Características dos Cabos MX CH'!$C$15:$J$20,6),(IF(J36="Quadruplex",VLOOKUP(M36,'Características dos Cabos MX CH'!$C$21:$K$27,6),(IF(J36="13",VLOOKUP(M36,'Características dos Cabos MX CH'!$C$15:$L$20,6),"")))))))</f>
        <v>319</v>
      </c>
      <c r="T36" s="194">
        <f t="shared" si="7"/>
        <v>0.12678013938080507</v>
      </c>
      <c r="U36" s="447">
        <f>IF(J36="Duplex",VLOOKUP(M36,'Características dos Cabos MX CH'!$C$12:$I$14,2),(IF(J36="Triplex",VLOOKUP(M36,'Características dos Cabos MX CH'!$C$15:$J$20,2),(IF(J36="Quadruplex",VLOOKUP(M36,'Características dos Cabos MX CH'!$C$21:$K$27,2),(IF(J36="13",VLOOKUP(M36,'Características dos Cabos MX CH'!$C$15:$L$20,2),"")))))))</f>
        <v>0.34239999999999998</v>
      </c>
      <c r="V36" s="193">
        <f>IF(J36="Duplex",VLOOKUP(M36,'Características dos Cabos MX CH'!$C$12:$I$14,3),(IF(J36="Triplex",VLOOKUP(M36,'Características dos Cabos MX CH'!$C$15:$J$20,3),(IF(J36="Quadruplex",VLOOKUP(M36,'Características dos Cabos MX CH'!$C$21:$K$27,3),(IF(J36="13",VLOOKUP(M36,'Características dos Cabos MX CH'!$C$15:$L$20,3),"")))))))</f>
        <v>0.34239999999999998</v>
      </c>
      <c r="W36" s="195">
        <f t="shared" si="8"/>
        <v>9.5578589574535915</v>
      </c>
      <c r="X36" s="195">
        <f t="shared" si="9"/>
        <v>9.5578589574535915</v>
      </c>
      <c r="Y36" s="196">
        <f t="shared" si="10"/>
        <v>9.5578589574535915</v>
      </c>
      <c r="AA36" s="488" t="str">
        <f t="shared" si="2"/>
        <v>15</v>
      </c>
      <c r="AB36" s="488">
        <f t="shared" si="3"/>
        <v>120</v>
      </c>
      <c r="AC36" s="485">
        <f>SUM($N$33:N36)</f>
        <v>140</v>
      </c>
      <c r="AD36" s="401"/>
      <c r="AE36" s="492">
        <f t="shared" si="11"/>
        <v>6.6366641250000011</v>
      </c>
      <c r="AF36" s="475">
        <f t="shared" si="0"/>
        <v>0.017999999999999999</v>
      </c>
      <c r="AG36" s="474"/>
      <c r="AH36" s="420"/>
    </row>
    <row r="37" spans="1:34" ht="15" customHeight="1">
      <c r="A37" s="650"/>
      <c r="B37" s="650"/>
      <c r="C37" s="493" t="s">
        <v>245</v>
      </c>
      <c r="D37" s="494" t="s">
        <v>246</v>
      </c>
      <c r="E37" s="502">
        <v>3</v>
      </c>
      <c r="F37" s="357">
        <f t="shared" si="4"/>
        <v>6.6366641250000011</v>
      </c>
      <c r="G37" s="487">
        <v>0.017999999999999999</v>
      </c>
      <c r="H37" s="190">
        <f>IF(AND(E37="",G37=""),"",SUM(F37:$G$44))</f>
        <v>19.963992375000004</v>
      </c>
      <c r="I37" s="191"/>
      <c r="J37" s="490" t="s">
        <v>237</v>
      </c>
      <c r="K37" s="490">
        <v>120</v>
      </c>
      <c r="L37" s="197">
        <f>IF(J37="Duplex",VLOOKUP(M37,'Características dos Cabos M EX'!$C$12:$I$14,7),(IF(J37="Triplex",VLOOKUP(M37,'Características dos Cabos M EX'!$C$15:$J$20,8),(IF(J37="Quadruplex",VLOOKUP(M37,'Características dos Cabos M EX'!$C$21:$K$27,9),(IF(J37="13",VLOOKUP(M37,'Características dos Cabos M EX'!$C$15:$L$20,10),"")))))))</f>
        <v>6.842105263157896E-05</v>
      </c>
      <c r="M37" s="350" t="str">
        <f t="shared" si="5"/>
        <v>g</v>
      </c>
      <c r="N37" s="491">
        <v>35</v>
      </c>
      <c r="O37" s="192">
        <f t="shared" si="1"/>
        <v>0.047808508055921073</v>
      </c>
      <c r="P37" s="192">
        <f>IF(O37="","",SUM($O$33:O37))</f>
        <v>0.39840423379934231</v>
      </c>
      <c r="Q37" s="192">
        <f t="shared" si="6"/>
        <v>30.332148346857608</v>
      </c>
      <c r="R37" s="193">
        <f>IF(J37="Duplex",VLOOKUP(M37,'Características dos Cabos MX CH'!$C$12:$I$14,5),(IF(J37="Triplex",VLOOKUP(M37,'Características dos Cabos MX CH'!$C$15:$J$20,5),(IF(J37="Quadruplex",VLOOKUP(M37,'Características dos Cabos MX CH'!$C$21:$K$27,5),(IF(J37="13",VLOOKUP(M37,'Características dos Cabos MX CH'!$C$15:$L$20,5),"")))))))</f>
        <v>268</v>
      </c>
      <c r="S37" s="193">
        <f>IF(J37="Duplex",VLOOKUP(M37,'Características dos Cabos MX CH'!$C$12:$I$14,6),(IF(J37="Triplex",VLOOKUP(M37,'Características dos Cabos MX CH'!$C$15:$J$20,6),(IF(J37="Quadruplex",VLOOKUP(M37,'Características dos Cabos MX CH'!$C$21:$K$27,6),(IF(J37="13",VLOOKUP(M37,'Características dos Cabos MX CH'!$C$15:$L$20,6),"")))))))</f>
        <v>319</v>
      </c>
      <c r="T37" s="194">
        <f t="shared" si="7"/>
        <v>0.095085104535603787</v>
      </c>
      <c r="U37" s="447">
        <f>IF(J37="Duplex",VLOOKUP(M37,'Características dos Cabos MX CH'!$C$12:$I$14,2),(IF(J37="Triplex",VLOOKUP(M37,'Características dos Cabos MX CH'!$C$15:$J$20,2),(IF(J37="Quadruplex",VLOOKUP(M37,'Características dos Cabos MX CH'!$C$21:$K$27,2),(IF(J37="13",VLOOKUP(M37,'Características dos Cabos MX CH'!$C$15:$L$20,2),"")))))))</f>
        <v>0.34239999999999998</v>
      </c>
      <c r="V37" s="193">
        <f>IF(J37="Duplex",VLOOKUP(M37,'Características dos Cabos MX CH'!$C$12:$I$14,3),(IF(J37="Triplex",VLOOKUP(M37,'Características dos Cabos MX CH'!$C$15:$J$20,3),(IF(J37="Quadruplex",VLOOKUP(M37,'Características dos Cabos MX CH'!$C$21:$K$27,3),(IF(J37="13",VLOOKUP(M37,'Características dos Cabos MX CH'!$C$15:$L$20,3),"")))))))</f>
        <v>0.34239999999999998</v>
      </c>
      <c r="W37" s="195">
        <f t="shared" si="8"/>
        <v>7.1683942180901914</v>
      </c>
      <c r="X37" s="195">
        <f t="shared" si="9"/>
        <v>7.1683942180901914</v>
      </c>
      <c r="Y37" s="196">
        <f t="shared" si="10"/>
        <v>7.1683942180901914</v>
      </c>
      <c r="AA37" s="488" t="str">
        <f t="shared" si="2"/>
        <v>16</v>
      </c>
      <c r="AB37" s="488">
        <f t="shared" si="3"/>
        <v>120</v>
      </c>
      <c r="AC37" s="485">
        <f>SUM($N$33:N37)</f>
        <v>175</v>
      </c>
      <c r="AD37" s="401"/>
      <c r="AE37" s="492">
        <f t="shared" si="11"/>
        <v>6.6366641250000011</v>
      </c>
      <c r="AF37" s="475">
        <f t="shared" si="0"/>
        <v>0.017999999999999999</v>
      </c>
      <c r="AG37" s="474"/>
      <c r="AH37" s="420"/>
    </row>
    <row r="38" spans="1:34" ht="15" customHeight="1">
      <c r="A38" s="650"/>
      <c r="B38" s="650"/>
      <c r="C38" s="493" t="s">
        <v>246</v>
      </c>
      <c r="D38" s="494" t="s">
        <v>247</v>
      </c>
      <c r="E38" s="502">
        <v>3</v>
      </c>
      <c r="F38" s="357">
        <f t="shared" si="4"/>
        <v>6.6366641250000011</v>
      </c>
      <c r="G38" s="487">
        <v>0.017999999999999999</v>
      </c>
      <c r="H38" s="190">
        <f>IF(AND(E38="",G38=""),"",SUM(F38:$G$44))</f>
        <v>13.309328250000004</v>
      </c>
      <c r="I38" s="191"/>
      <c r="J38" s="490" t="s">
        <v>237</v>
      </c>
      <c r="K38" s="490">
        <v>70</v>
      </c>
      <c r="L38" s="197">
        <f>IF(J38="Duplex",VLOOKUP(M38,'Características dos Cabos M EX'!$C$12:$I$14,7),(IF(J38="Triplex",VLOOKUP(M38,'Características dos Cabos M EX'!$C$15:$J$20,8),(IF(J38="Quadruplex",VLOOKUP(M38,'Características dos Cabos M EX'!$C$21:$K$27,9),(IF(J38="13",VLOOKUP(M38,'Características dos Cabos M EX'!$C$15:$L$20,10),"")))))))</f>
        <v>7.3891966759002809E-05</v>
      </c>
      <c r="M38" s="350" t="str">
        <f t="shared" si="5"/>
        <v>f</v>
      </c>
      <c r="N38" s="491">
        <v>35</v>
      </c>
      <c r="O38" s="192">
        <f t="shared" si="1"/>
        <v>0.034420835422178005</v>
      </c>
      <c r="P38" s="192">
        <f>IF(O38="","",SUM($O$33:O38))</f>
        <v>0.43282506922152031</v>
      </c>
      <c r="Q38" s="192">
        <f t="shared" si="6"/>
        <v>20.221432231238406</v>
      </c>
      <c r="R38" s="193">
        <f>IF(J38="Duplex",VLOOKUP(M38,'Características dos Cabos MX CH'!$C$12:$I$14,5),(IF(J38="Triplex",VLOOKUP(M38,'Características dos Cabos MX CH'!$C$15:$J$20,5),(IF(J38="Quadruplex",VLOOKUP(M38,'Características dos Cabos MX CH'!$C$21:$K$27,5),(IF(J38="13",VLOOKUP(M38,'Características dos Cabos MX CH'!$C$15:$L$20,5),"")))))))</f>
        <v>190</v>
      </c>
      <c r="S38" s="193">
        <f>IF(J38="Duplex",VLOOKUP(M38,'Características dos Cabos MX CH'!$C$12:$I$14,6),(IF(J38="Triplex",VLOOKUP(M38,'Características dos Cabos MX CH'!$C$15:$J$20,6),(IF(J38="Quadruplex",VLOOKUP(M38,'Características dos Cabos MX CH'!$C$21:$K$27,6),(IF(J38="13",VLOOKUP(M38,'Características dos Cabos MX CH'!$C$15:$L$20,6),"")))))))</f>
        <v>225</v>
      </c>
      <c r="T38" s="194">
        <f t="shared" si="7"/>
        <v>0.089873032138837364</v>
      </c>
      <c r="U38" s="447">
        <f>IF(J38="Duplex",VLOOKUP(M38,'Características dos Cabos MX CH'!$C$12:$I$14,2),(IF(J38="Triplex",VLOOKUP(M38,'Características dos Cabos MX CH'!$C$15:$J$20,2),(IF(J38="Quadruplex",VLOOKUP(M38,'Características dos Cabos MX CH'!$C$21:$K$27,2),(IF(J38="13",VLOOKUP(M38,'Características dos Cabos MX CH'!$C$15:$L$20,2),"")))))))</f>
        <v>0.57869999999999999</v>
      </c>
      <c r="V38" s="193">
        <f>IF(J38="Duplex",VLOOKUP(M38,'Características dos Cabos MX CH'!$C$12:$I$14,3),(IF(J38="Triplex",VLOOKUP(M38,'Características dos Cabos MX CH'!$C$15:$J$20,3),(IF(J38="Quadruplex",VLOOKUP(M38,'Características dos Cabos MX CH'!$C$21:$K$27,3),(IF(J38="13",VLOOKUP(M38,'Características dos Cabos MX CH'!$C$15:$L$20,3),"")))))))</f>
        <v>0.57869999999999999</v>
      </c>
      <c r="W38" s="195">
        <f t="shared" si="8"/>
        <v>4.3842512740354413</v>
      </c>
      <c r="X38" s="195">
        <f t="shared" si="9"/>
        <v>4.3842512740354413</v>
      </c>
      <c r="Y38" s="196">
        <f t="shared" si="10"/>
        <v>4.3842512740354413</v>
      </c>
      <c r="AA38" s="488" t="str">
        <f t="shared" si="2"/>
        <v>17</v>
      </c>
      <c r="AB38" s="488">
        <f t="shared" si="3"/>
        <v>70</v>
      </c>
      <c r="AC38" s="485">
        <f>SUM($N$33:N38)</f>
        <v>210</v>
      </c>
      <c r="AD38" s="401"/>
      <c r="AE38" s="492">
        <f t="shared" si="11"/>
        <v>6.6366641250000011</v>
      </c>
      <c r="AF38" s="475">
        <f t="shared" si="0"/>
        <v>0.017999999999999999</v>
      </c>
      <c r="AG38" s="474"/>
      <c r="AH38" s="420"/>
    </row>
    <row r="39" spans="1:34" ht="15" customHeight="1">
      <c r="A39" s="650"/>
      <c r="B39" s="650"/>
      <c r="C39" s="493" t="s">
        <v>247</v>
      </c>
      <c r="D39" s="494" t="s">
        <v>248</v>
      </c>
      <c r="E39" s="502">
        <v>3</v>
      </c>
      <c r="F39" s="357">
        <f t="shared" si="4"/>
        <v>6.6366641250000011</v>
      </c>
      <c r="G39" s="487">
        <v>0.017999999999999999</v>
      </c>
      <c r="H39" s="190">
        <f>IF(AND(E39="",G39=""),"",SUM(F39:$G$44))</f>
        <v>6.6546641250000009</v>
      </c>
      <c r="I39" s="191"/>
      <c r="J39" s="490" t="s">
        <v>237</v>
      </c>
      <c r="K39" s="490">
        <v>70</v>
      </c>
      <c r="L39" s="197">
        <f>IF(J39="Duplex",VLOOKUP(M39,'Características dos Cabos M EX'!$C$12:$I$14,7),(IF(J39="Triplex",VLOOKUP(M39,'Características dos Cabos M EX'!$C$15:$J$20,8),(IF(J39="Quadruplex",VLOOKUP(M39,'Características dos Cabos M EX'!$C$21:$K$27,9),(IF(J39="13",VLOOKUP(M39,'Características dos Cabos M EX'!$C$15:$L$20,10),"")))))))</f>
        <v>7.3891966759002809E-05</v>
      </c>
      <c r="M39" s="350" t="str">
        <f t="shared" si="5"/>
        <v>f</v>
      </c>
      <c r="N39" s="491">
        <v>35</v>
      </c>
      <c r="O39" s="192">
        <f t="shared" si="1"/>
        <v>0.017210417711089002</v>
      </c>
      <c r="P39" s="192">
        <f>IF(O39="","",SUM($O$33:O39))</f>
        <v>0.45003548693260931</v>
      </c>
      <c r="Q39" s="192">
        <f t="shared" si="6"/>
        <v>10.110716115619201</v>
      </c>
      <c r="R39" s="193">
        <f>IF(J39="Duplex",VLOOKUP(M39,'Características dos Cabos MX CH'!$C$12:$I$14,5),(IF(J39="Triplex",VLOOKUP(M39,'Características dos Cabos MX CH'!$C$15:$J$20,5),(IF(J39="Quadruplex",VLOOKUP(M39,'Características dos Cabos MX CH'!$C$21:$K$27,5),(IF(J39="13",VLOOKUP(M39,'Características dos Cabos MX CH'!$C$15:$L$20,5),"")))))))</f>
        <v>190</v>
      </c>
      <c r="S39" s="193">
        <f>IF(J39="Duplex",VLOOKUP(M39,'Características dos Cabos MX CH'!$C$12:$I$14,6),(IF(J39="Triplex",VLOOKUP(M39,'Características dos Cabos MX CH'!$C$15:$J$20,6),(IF(J39="Quadruplex",VLOOKUP(M39,'Características dos Cabos MX CH'!$C$21:$K$27,6),(IF(J39="13",VLOOKUP(M39,'Características dos Cabos MX CH'!$C$15:$L$20,6),"")))))))</f>
        <v>225</v>
      </c>
      <c r="T39" s="194">
        <f t="shared" si="7"/>
        <v>0.044936516069418675</v>
      </c>
      <c r="U39" s="447">
        <f>IF(J39="Duplex",VLOOKUP(M39,'Características dos Cabos MX CH'!$C$12:$I$14,2),(IF(J39="Triplex",VLOOKUP(M39,'Características dos Cabos MX CH'!$C$15:$J$20,2),(IF(J39="Quadruplex",VLOOKUP(M39,'Características dos Cabos MX CH'!$C$21:$K$27,2),(IF(J39="13",VLOOKUP(M39,'Características dos Cabos MX CH'!$C$15:$L$20,2),"")))))))</f>
        <v>0.57869999999999999</v>
      </c>
      <c r="V39" s="193">
        <f>IF(J39="Duplex",VLOOKUP(M39,'Características dos Cabos MX CH'!$C$12:$I$14,3),(IF(J39="Triplex",VLOOKUP(M39,'Características dos Cabos MX CH'!$C$15:$J$20,3),(IF(J39="Quadruplex",VLOOKUP(M39,'Características dos Cabos MX CH'!$C$21:$K$27,3),(IF(J39="13",VLOOKUP(M39,'Características dos Cabos MX CH'!$C$15:$L$20,3),"")))))))</f>
        <v>0.57869999999999999</v>
      </c>
      <c r="W39" s="195">
        <f t="shared" si="8"/>
        <v>2.1921256370177207</v>
      </c>
      <c r="X39" s="195">
        <f t="shared" si="9"/>
        <v>2.1921256370177207</v>
      </c>
      <c r="Y39" s="196">
        <f t="shared" si="10"/>
        <v>2.1921256370177207</v>
      </c>
      <c r="AA39" s="488" t="str">
        <f t="shared" si="2"/>
        <v>18</v>
      </c>
      <c r="AB39" s="488">
        <f t="shared" si="3"/>
        <v>70</v>
      </c>
      <c r="AC39" s="485">
        <f>SUM($N$33:N39)</f>
        <v>245</v>
      </c>
      <c r="AD39" s="401"/>
      <c r="AE39" s="492">
        <f t="shared" si="11"/>
        <v>6.6366641250000011</v>
      </c>
      <c r="AF39" s="475">
        <f t="shared" si="0"/>
        <v>0.017999999999999999</v>
      </c>
      <c r="AG39" s="474"/>
      <c r="AH39" s="420"/>
    </row>
    <row r="40" spans="1:34" ht="15" customHeight="1">
      <c r="A40" s="650"/>
      <c r="B40" s="650"/>
      <c r="C40" s="493"/>
      <c r="D40" s="494"/>
      <c r="E40" s="502"/>
      <c r="F40" s="357" t="str">
        <f t="shared" si="4"/>
        <v/>
      </c>
      <c r="G40" s="487"/>
      <c r="H40" s="190" t="str">
        <f>IF(AND(E40="",G40=""),"",SUM(F40:$G$44))</f>
        <v/>
      </c>
      <c r="I40" s="191"/>
      <c r="J40" s="490"/>
      <c r="K40" s="490"/>
      <c r="L40" s="197" t="str">
        <f>IF(J40="Duplex",VLOOKUP(M40,'Características dos Cabos M EX'!$C$12:$I$14,7),(IF(J40="Triplex",VLOOKUP(M40,'Características dos Cabos M EX'!$C$15:$J$20,8),(IF(J40="Quadruplex",VLOOKUP(M40,'Características dos Cabos M EX'!$C$21:$K$27,9),(IF(J40="13",VLOOKUP(M40,'Características dos Cabos M EX'!$C$15:$L$20,10),"")))))))</f>
        <v/>
      </c>
      <c r="M40" s="350" t="str">
        <f t="shared" si="5"/>
        <v/>
      </c>
      <c r="N40" s="491"/>
      <c r="O40" s="192" t="str">
        <f t="shared" si="1"/>
        <v/>
      </c>
      <c r="P40" s="192" t="str">
        <f>IF(O40="","",SUM($O$33:O40))</f>
        <v/>
      </c>
      <c r="Q40" s="192" t="str">
        <f t="shared" si="6"/>
        <v/>
      </c>
      <c r="R40" s="193" t="str">
        <f>IF(J40="Duplex",VLOOKUP(M40,'Características dos Cabos MX CH'!$C$12:$I$14,5),(IF(J40="Triplex",VLOOKUP(M40,'Características dos Cabos MX CH'!$C$15:$J$20,5),(IF(J40="Quadruplex",VLOOKUP(M40,'Características dos Cabos MX CH'!$C$21:$K$27,5),(IF(J40="13",VLOOKUP(M40,'Características dos Cabos MX CH'!$C$15:$L$20,5),"")))))))</f>
        <v/>
      </c>
      <c r="S40" s="193" t="str">
        <f>IF(J40="Duplex",VLOOKUP(M40,'Características dos Cabos MX CH'!$C$12:$I$14,6),(IF(J40="Triplex",VLOOKUP(M40,'Características dos Cabos MX CH'!$C$15:$J$20,6),(IF(J40="Quadruplex",VLOOKUP(M40,'Características dos Cabos MX CH'!$C$21:$K$27,6),(IF(J40="13",VLOOKUP(M40,'Características dos Cabos MX CH'!$C$15:$L$20,6),"")))))))</f>
        <v/>
      </c>
      <c r="T40" s="194" t="str">
        <f t="shared" si="7"/>
        <v/>
      </c>
      <c r="U40" s="447" t="str">
        <f>IF(J40="Duplex",VLOOKUP(M40,'Características dos Cabos MX CH'!$C$12:$I$14,2),(IF(J40="Triplex",VLOOKUP(M40,'Características dos Cabos MX CH'!$C$15:$J$20,2),(IF(J40="Quadruplex",VLOOKUP(M40,'Características dos Cabos MX CH'!$C$21:$K$27,2),(IF(J40="13",VLOOKUP(M40,'Características dos Cabos MX CH'!$C$15:$L$20,2),"")))))))</f>
        <v/>
      </c>
      <c r="V40" s="193" t="str">
        <f>IF(J40="Duplex",VLOOKUP(M40,'Características dos Cabos MX CH'!$C$12:$I$14,3),(IF(J40="Triplex",VLOOKUP(M40,'Características dos Cabos MX CH'!$C$15:$J$20,3),(IF(J40="Quadruplex",VLOOKUP(M40,'Características dos Cabos MX CH'!$C$21:$K$27,3),(IF(J40="13",VLOOKUP(M40,'Características dos Cabos MX CH'!$C$15:$L$20,3),"")))))))</f>
        <v/>
      </c>
      <c r="W40" s="195" t="str">
        <f t="shared" si="8"/>
        <v/>
      </c>
      <c r="X40" s="195" t="str">
        <f t="shared" si="9"/>
        <v/>
      </c>
      <c r="Y40" s="196" t="str">
        <f t="shared" si="10"/>
        <v/>
      </c>
      <c r="AA40" s="488">
        <f t="shared" si="2"/>
        <v>0</v>
      </c>
      <c r="AB40" s="488">
        <f t="shared" si="3"/>
        <v>0</v>
      </c>
      <c r="AC40" s="485">
        <f>SUM($N$33:N40)</f>
        <v>245</v>
      </c>
      <c r="AD40" s="401"/>
      <c r="AE40" s="492" t="str">
        <f t="shared" si="11"/>
        <v/>
      </c>
      <c r="AF40" s="475">
        <f t="shared" si="0"/>
        <v>0</v>
      </c>
      <c r="AG40" s="474"/>
      <c r="AH40" s="420"/>
    </row>
    <row r="41" spans="1:34" ht="15" customHeight="1">
      <c r="A41" s="650"/>
      <c r="B41" s="650"/>
      <c r="C41" s="493"/>
      <c r="D41" s="494"/>
      <c r="E41" s="502"/>
      <c r="F41" s="357" t="str">
        <f t="shared" si="4"/>
        <v/>
      </c>
      <c r="G41" s="487"/>
      <c r="H41" s="190" t="str">
        <f>IF(AND(E41="",G41=""),"",SUM(F41:$G$44))</f>
        <v/>
      </c>
      <c r="I41" s="191"/>
      <c r="J41" s="490"/>
      <c r="K41" s="490"/>
      <c r="L41" s="197" t="str">
        <f>IF(J41="Duplex",VLOOKUP(M41,'Características dos Cabos M EX'!$C$12:$I$14,7),(IF(J41="Triplex",VLOOKUP(M41,'Características dos Cabos M EX'!$C$15:$J$20,8),(IF(J41="Quadruplex",VLOOKUP(M41,'Características dos Cabos M EX'!$C$21:$K$27,9),(IF(J41="13",VLOOKUP(M41,'Características dos Cabos M EX'!$C$15:$L$20,10),"")))))))</f>
        <v/>
      </c>
      <c r="M41" s="350" t="str">
        <f t="shared" si="5"/>
        <v/>
      </c>
      <c r="N41" s="491"/>
      <c r="O41" s="192" t="str">
        <f t="shared" si="1"/>
        <v/>
      </c>
      <c r="P41" s="192" t="str">
        <f>IF(O41="","",SUM($O$33:O41))</f>
        <v/>
      </c>
      <c r="Q41" s="192" t="str">
        <f t="shared" si="6"/>
        <v/>
      </c>
      <c r="R41" s="193" t="str">
        <f>IF(J41="Duplex",VLOOKUP(M41,'Características dos Cabos MX CH'!$C$12:$I$14,5),(IF(J41="Triplex",VLOOKUP(M41,'Características dos Cabos MX CH'!$C$15:$J$20,5),(IF(J41="Quadruplex",VLOOKUP(M41,'Características dos Cabos MX CH'!$C$21:$K$27,5),(IF(J41="13",VLOOKUP(M41,'Características dos Cabos MX CH'!$C$15:$L$20,5),"")))))))</f>
        <v/>
      </c>
      <c r="S41" s="193" t="str">
        <f>IF(J41="Duplex",VLOOKUP(M41,'Características dos Cabos MX CH'!$C$12:$I$14,6),(IF(J41="Triplex",VLOOKUP(M41,'Características dos Cabos MX CH'!$C$15:$J$20,6),(IF(J41="Quadruplex",VLOOKUP(M41,'Características dos Cabos MX CH'!$C$21:$K$27,6),(IF(J41="13",VLOOKUP(M41,'Características dos Cabos MX CH'!$C$15:$L$20,6),"")))))))</f>
        <v/>
      </c>
      <c r="T41" s="194" t="str">
        <f t="shared" si="7"/>
        <v/>
      </c>
      <c r="U41" s="447" t="str">
        <f>IF(J41="Duplex",VLOOKUP(M41,'Características dos Cabos MX CH'!$C$12:$I$14,2),(IF(J41="Triplex",VLOOKUP(M41,'Características dos Cabos MX CH'!$C$15:$J$20,2),(IF(J41="Quadruplex",VLOOKUP(M41,'Características dos Cabos MX CH'!$C$21:$K$27,2),(IF(J41="13",VLOOKUP(M41,'Características dos Cabos MX CH'!$C$15:$L$20,2),"")))))))</f>
        <v/>
      </c>
      <c r="V41" s="193" t="str">
        <f>IF(J41="Duplex",VLOOKUP(M41,'Características dos Cabos MX CH'!$C$12:$I$14,3),(IF(J41="Triplex",VLOOKUP(M41,'Características dos Cabos MX CH'!$C$15:$J$20,3),(IF(J41="Quadruplex",VLOOKUP(M41,'Características dos Cabos MX CH'!$C$21:$K$27,3),(IF(J41="13",VLOOKUP(M41,'Características dos Cabos MX CH'!$C$15:$L$20,3),"")))))))</f>
        <v/>
      </c>
      <c r="W41" s="195" t="str">
        <f t="shared" si="8"/>
        <v/>
      </c>
      <c r="X41" s="195" t="str">
        <f t="shared" si="9"/>
        <v/>
      </c>
      <c r="Y41" s="196" t="str">
        <f t="shared" si="10"/>
        <v/>
      </c>
      <c r="AA41" s="488">
        <f t="shared" si="2"/>
        <v>0</v>
      </c>
      <c r="AB41" s="488">
        <f t="shared" si="3"/>
        <v>0</v>
      </c>
      <c r="AC41" s="485">
        <f>SUM($N$33:N41)</f>
        <v>245</v>
      </c>
      <c r="AD41" s="401"/>
      <c r="AE41" s="492" t="str">
        <f t="shared" si="11"/>
        <v/>
      </c>
      <c r="AF41" s="475">
        <f t="shared" si="0"/>
        <v>0</v>
      </c>
      <c r="AG41" s="474"/>
      <c r="AH41" s="420"/>
    </row>
    <row r="42" spans="1:34" ht="15" customHeight="1">
      <c r="A42" s="650"/>
      <c r="B42" s="650"/>
      <c r="C42" s="493"/>
      <c r="D42" s="494"/>
      <c r="E42" s="502"/>
      <c r="F42" s="357" t="str">
        <f t="shared" si="4"/>
        <v/>
      </c>
      <c r="G42" s="487"/>
      <c r="H42" s="190" t="str">
        <f>IF(AND(E42="",G42=""),"",SUM(F42:$G$44))</f>
        <v/>
      </c>
      <c r="I42" s="191"/>
      <c r="J42" s="490"/>
      <c r="K42" s="490"/>
      <c r="L42" s="197" t="str">
        <f>IF(J42="Duplex",VLOOKUP(M42,'Características dos Cabos M EX'!$C$12:$I$14,7),(IF(J42="Triplex",VLOOKUP(M42,'Características dos Cabos M EX'!$C$15:$J$20,8),(IF(J42="Quadruplex",VLOOKUP(M42,'Características dos Cabos M EX'!$C$21:$K$27,9),(IF(J42="13",VLOOKUP(M42,'Características dos Cabos M EX'!$C$15:$L$20,10),"")))))))</f>
        <v/>
      </c>
      <c r="M42" s="350" t="str">
        <f t="shared" si="5"/>
        <v/>
      </c>
      <c r="N42" s="491"/>
      <c r="O42" s="192" t="str">
        <f t="shared" si="1"/>
        <v/>
      </c>
      <c r="P42" s="192" t="str">
        <f>IF(O42="","",SUM($O$33:O42))</f>
        <v/>
      </c>
      <c r="Q42" s="192" t="str">
        <f t="shared" si="6"/>
        <v/>
      </c>
      <c r="R42" s="193" t="str">
        <f>IF(J42="Duplex",VLOOKUP(M42,'Características dos Cabos MX CH'!$C$12:$I$14,5),(IF(J42="Triplex",VLOOKUP(M42,'Características dos Cabos MX CH'!$C$15:$J$20,5),(IF(J42="Quadruplex",VLOOKUP(M42,'Características dos Cabos MX CH'!$C$21:$K$27,5),(IF(J42="13",VLOOKUP(M42,'Características dos Cabos MX CH'!$C$15:$L$20,5),"")))))))</f>
        <v/>
      </c>
      <c r="S42" s="193" t="str">
        <f>IF(J42="Duplex",VLOOKUP(M42,'Características dos Cabos MX CH'!$C$12:$I$14,6),(IF(J42="Triplex",VLOOKUP(M42,'Características dos Cabos MX CH'!$C$15:$J$20,6),(IF(J42="Quadruplex",VLOOKUP(M42,'Características dos Cabos MX CH'!$C$21:$K$27,6),(IF(J42="13",VLOOKUP(M42,'Características dos Cabos MX CH'!$C$15:$L$20,6),"")))))))</f>
        <v/>
      </c>
      <c r="T42" s="194" t="str">
        <f t="shared" si="7"/>
        <v/>
      </c>
      <c r="U42" s="447" t="str">
        <f>IF(J42="Duplex",VLOOKUP(M42,'Características dos Cabos MX CH'!$C$12:$I$14,2),(IF(J42="Triplex",VLOOKUP(M42,'Características dos Cabos MX CH'!$C$15:$J$20,2),(IF(J42="Quadruplex",VLOOKUP(M42,'Características dos Cabos MX CH'!$C$21:$K$27,2),(IF(J42="13",VLOOKUP(M42,'Características dos Cabos MX CH'!$C$15:$L$20,2),"")))))))</f>
        <v/>
      </c>
      <c r="V42" s="193" t="str">
        <f>IF(J42="Duplex",VLOOKUP(M42,'Características dos Cabos MX CH'!$C$12:$I$14,3),(IF(J42="Triplex",VLOOKUP(M42,'Características dos Cabos MX CH'!$C$15:$J$20,3),(IF(J42="Quadruplex",VLOOKUP(M42,'Características dos Cabos MX CH'!$C$21:$K$27,3),(IF(J42="13",VLOOKUP(M42,'Características dos Cabos MX CH'!$C$15:$L$20,3),"")))))))</f>
        <v/>
      </c>
      <c r="W42" s="195" t="str">
        <f t="shared" si="8"/>
        <v/>
      </c>
      <c r="X42" s="195" t="str">
        <f t="shared" si="9"/>
        <v/>
      </c>
      <c r="Y42" s="196" t="str">
        <f t="shared" si="10"/>
        <v/>
      </c>
      <c r="AA42" s="488">
        <f t="shared" si="2"/>
        <v>0</v>
      </c>
      <c r="AB42" s="488">
        <f t="shared" si="3"/>
        <v>0</v>
      </c>
      <c r="AC42" s="485">
        <f>SUM($N$33:N42)</f>
        <v>245</v>
      </c>
      <c r="AD42" s="401"/>
      <c r="AE42" s="492" t="str">
        <f t="shared" si="11"/>
        <v/>
      </c>
      <c r="AF42" s="475">
        <f t="shared" si="0"/>
        <v>0</v>
      </c>
      <c r="AG42" s="474"/>
      <c r="AH42" s="420"/>
    </row>
    <row r="43" spans="1:34" ht="15" customHeight="1">
      <c r="A43" s="650"/>
      <c r="B43" s="650"/>
      <c r="C43" s="493"/>
      <c r="D43" s="494"/>
      <c r="E43" s="502"/>
      <c r="F43" s="357" t="str">
        <f t="shared" si="4"/>
        <v/>
      </c>
      <c r="G43" s="487"/>
      <c r="H43" s="190" t="str">
        <f>IF(AND(E43="",G43=""),"",SUM(F43:$G$44))</f>
        <v/>
      </c>
      <c r="I43" s="191"/>
      <c r="J43" s="490"/>
      <c r="K43" s="490"/>
      <c r="L43" s="197" t="str">
        <f>IF(J43="Duplex",VLOOKUP(M43,'Características dos Cabos M EX'!$C$12:$I$14,7),(IF(J43="Triplex",VLOOKUP(M43,'Características dos Cabos M EX'!$C$15:$J$20,8),(IF(J43="Quadruplex",VLOOKUP(M43,'Características dos Cabos M EX'!$C$21:$K$27,9),(IF(J43="13",VLOOKUP(M43,'Características dos Cabos M EX'!$C$15:$L$20,10),"")))))))</f>
        <v/>
      </c>
      <c r="M43" s="350" t="str">
        <f t="shared" si="5"/>
        <v/>
      </c>
      <c r="N43" s="491"/>
      <c r="O43" s="192" t="str">
        <f t="shared" si="1"/>
        <v/>
      </c>
      <c r="P43" s="192" t="str">
        <f>IF(O43="","",SUM($O$33:O43))</f>
        <v/>
      </c>
      <c r="Q43" s="192" t="str">
        <f t="shared" si="6"/>
        <v/>
      </c>
      <c r="R43" s="193" t="str">
        <f>IF(J43="Duplex",VLOOKUP(M43,'Características dos Cabos MX CH'!$C$12:$I$14,5),(IF(J43="Triplex",VLOOKUP(M43,'Características dos Cabos MX CH'!$C$15:$J$20,5),(IF(J43="Quadruplex",VLOOKUP(M43,'Características dos Cabos MX CH'!$C$21:$K$27,5),(IF(J43="13",VLOOKUP(M43,'Características dos Cabos MX CH'!$C$15:$L$20,5),"")))))))</f>
        <v/>
      </c>
      <c r="S43" s="193" t="str">
        <f>IF(J43="Duplex",VLOOKUP(M43,'Características dos Cabos MX CH'!$C$12:$I$14,6),(IF(J43="Triplex",VLOOKUP(M43,'Características dos Cabos MX CH'!$C$15:$J$20,6),(IF(J43="Quadruplex",VLOOKUP(M43,'Características dos Cabos MX CH'!$C$21:$K$27,6),(IF(J43="13",VLOOKUP(M43,'Características dos Cabos MX CH'!$C$15:$L$20,6),"")))))))</f>
        <v/>
      </c>
      <c r="T43" s="194" t="str">
        <f t="shared" si="7"/>
        <v/>
      </c>
      <c r="U43" s="447" t="str">
        <f>IF(J43="Duplex",VLOOKUP(M43,'Características dos Cabos MX CH'!$C$12:$I$14,2),(IF(J43="Triplex",VLOOKUP(M43,'Características dos Cabos MX CH'!$C$15:$J$20,2),(IF(J43="Quadruplex",VLOOKUP(M43,'Características dos Cabos MX CH'!$C$21:$K$27,2),(IF(J43="13",VLOOKUP(M43,'Características dos Cabos MX CH'!$C$15:$L$20,2),"")))))))</f>
        <v/>
      </c>
      <c r="V43" s="193" t="str">
        <f>IF(J43="Duplex",VLOOKUP(M43,'Características dos Cabos MX CH'!$C$12:$I$14,3),(IF(J43="Triplex",VLOOKUP(M43,'Características dos Cabos MX CH'!$C$15:$J$20,3),(IF(J43="Quadruplex",VLOOKUP(M43,'Características dos Cabos MX CH'!$C$21:$K$27,3),(IF(J43="13",VLOOKUP(M43,'Características dos Cabos MX CH'!$C$15:$L$20,3),"")))))))</f>
        <v/>
      </c>
      <c r="W43" s="195" t="str">
        <f t="shared" si="8"/>
        <v/>
      </c>
      <c r="X43" s="195" t="str">
        <f t="shared" si="9"/>
        <v/>
      </c>
      <c r="Y43" s="196" t="str">
        <f t="shared" si="10"/>
        <v/>
      </c>
      <c r="AA43" s="488">
        <f t="shared" si="2"/>
        <v>0</v>
      </c>
      <c r="AB43" s="488">
        <f t="shared" si="3"/>
        <v>0</v>
      </c>
      <c r="AC43" s="485">
        <f>SUM($N$33:N43)</f>
        <v>245</v>
      </c>
      <c r="AD43" s="401"/>
      <c r="AE43" s="492" t="str">
        <f t="shared" si="11"/>
        <v/>
      </c>
      <c r="AF43" s="475">
        <f t="shared" si="0"/>
        <v>0</v>
      </c>
      <c r="AG43" s="474"/>
      <c r="AH43" s="420"/>
    </row>
    <row r="44" spans="1:34" ht="15" customHeight="1" thickBot="1">
      <c r="A44" s="651"/>
      <c r="B44" s="651"/>
      <c r="C44" s="503"/>
      <c r="D44" s="504"/>
      <c r="E44" s="505"/>
      <c r="F44" s="357" t="str">
        <f t="shared" si="4"/>
        <v/>
      </c>
      <c r="G44" s="506"/>
      <c r="H44" s="200" t="str">
        <f>IF(AND(E44="",G44=""),"",SUM(F44:$G$44))</f>
        <v/>
      </c>
      <c r="I44" s="201"/>
      <c r="J44" s="500"/>
      <c r="K44" s="500"/>
      <c r="L44" s="202" t="str">
        <f>IF(J44="Duplex",VLOOKUP(M44,'Características dos Cabos M EX'!$C$12:$I$14,7),(IF(J44="Triplex",VLOOKUP(M44,'Características dos Cabos M EX'!$C$15:$J$20,8),(IF(J44="Quadruplex",VLOOKUP(M44,'Características dos Cabos M EX'!$C$21:$K$27,9),(IF(J44="13",VLOOKUP(M44,'Características dos Cabos M EX'!$C$15:$L$20,10),"")))))))</f>
        <v/>
      </c>
      <c r="M44" s="353" t="str">
        <f t="shared" si="5"/>
        <v/>
      </c>
      <c r="N44" s="507"/>
      <c r="O44" s="203" t="str">
        <f t="shared" si="1"/>
        <v/>
      </c>
      <c r="P44" s="203" t="str">
        <f>IF(O44="","",SUM($O$33:O44))</f>
        <v/>
      </c>
      <c r="Q44" s="203" t="str">
        <f t="shared" si="6"/>
        <v/>
      </c>
      <c r="R44" s="204" t="str">
        <f>IF(J44="Duplex",VLOOKUP(M44,'Características dos Cabos MX CH'!$C$12:$I$14,5),(IF(J44="Triplex",VLOOKUP(M44,'Características dos Cabos MX CH'!$C$15:$J$20,5),(IF(J44="Quadruplex",VLOOKUP(M44,'Características dos Cabos MX CH'!$C$21:$K$27,5),(IF(J44="13",VLOOKUP(M44,'Características dos Cabos MX CH'!$C$15:$L$20,5),"")))))))</f>
        <v/>
      </c>
      <c r="S44" s="204" t="str">
        <f>IF(J44="Duplex",VLOOKUP(M44,'Características dos Cabos MX CH'!$C$12:$I$14,6),(IF(J44="Triplex",VLOOKUP(M44,'Características dos Cabos MX CH'!$C$15:$J$20,6),(IF(J44="Quadruplex",VLOOKUP(M44,'Características dos Cabos MX CH'!$C$21:$K$27,6),(IF(J44="13",VLOOKUP(M44,'Características dos Cabos MX CH'!$C$15:$L$20,6),"")))))))</f>
        <v/>
      </c>
      <c r="T44" s="205" t="str">
        <f t="shared" si="7"/>
        <v/>
      </c>
      <c r="U44" s="448" t="str">
        <f>IF(J44="Duplex",VLOOKUP(M44,'Características dos Cabos MX CH'!$C$12:$I$14,2),(IF(J44="Triplex",VLOOKUP(M44,'Características dos Cabos MX CH'!$C$15:$J$20,2),(IF(J44="Quadruplex",VLOOKUP(M44,'Características dos Cabos MX CH'!$C$21:$K$27,2),(IF(J44="13",VLOOKUP(M44,'Características dos Cabos MX CH'!$C$15:$L$20,2),"")))))))</f>
        <v/>
      </c>
      <c r="V44" s="204" t="str">
        <f>IF(J44="Duplex",VLOOKUP(M44,'Características dos Cabos MX CH'!$C$12:$I$14,3),(IF(J44="Triplex",VLOOKUP(M44,'Características dos Cabos MX CH'!$C$15:$J$20,3),(IF(J44="Quadruplex",VLOOKUP(M44,'Características dos Cabos MX CH'!$C$21:$K$27,3),(IF(J44="13",VLOOKUP(M44,'Características dos Cabos MX CH'!$C$15:$L$20,3),"")))))))</f>
        <v/>
      </c>
      <c r="W44" s="206" t="str">
        <f t="shared" si="8"/>
        <v/>
      </c>
      <c r="X44" s="206" t="str">
        <f t="shared" si="9"/>
        <v/>
      </c>
      <c r="Y44" s="207" t="str">
        <f t="shared" si="10"/>
        <v/>
      </c>
      <c r="AA44" s="488">
        <f t="shared" si="2"/>
        <v>0</v>
      </c>
      <c r="AB44" s="488">
        <f t="shared" si="3"/>
        <v>0</v>
      </c>
      <c r="AC44" s="485">
        <f>SUM($N$33:N44)</f>
        <v>245</v>
      </c>
      <c r="AD44" s="401"/>
      <c r="AE44" s="492" t="str">
        <f t="shared" si="11"/>
        <v/>
      </c>
      <c r="AF44" s="475">
        <f t="shared" si="0"/>
        <v>0</v>
      </c>
      <c r="AG44" s="474"/>
      <c r="AH44" s="420"/>
    </row>
    <row r="45" spans="1:34" ht="20.25" customHeight="1" thickTop="1" thickBot="1">
      <c r="A45" s="2"/>
      <c r="B45" s="2"/>
      <c r="C45" s="94"/>
      <c r="D45" s="94"/>
      <c r="F45" s="357" t="str">
        <f t="shared" si="4"/>
        <v/>
      </c>
      <c r="M45" s="1" t="str">
        <f t="shared" si="12" ref="M45">IF(K45="10","a",IF(K45="16","b",IF(K45="25","c",IF(K45="35","d",IF(K45="50","e",(IF(K45="70","f",(IF(K45="120","g","")))))))))</f>
        <v/>
      </c>
      <c r="N45" s="162"/>
      <c r="O45" s="162"/>
      <c r="P45" s="162"/>
      <c r="Q45" s="162"/>
      <c r="T45" t="str">
        <f t="shared" si="13" ref="T45:T108">IF(OR(Q45="",R45="",S45=""),"",IF(OR($L$11="PE",$L$11="pe"),Q45/R45,IF(OR($L$11="XLPE",$L$11="xlpe"),Q45/S45,"")))</f>
        <v/>
      </c>
      <c r="W45" s="163"/>
      <c r="X45" s="163"/>
      <c r="Y45" s="164" t="str">
        <f t="shared" si="14" ref="Y45">IF(OR(V45="",W45="",X45=""),"",IF(OR($L$11="PE",$L$11="pe"),W45,IF(OR($L$11="XLPE",$L$11="xlpe"),X45,"")))</f>
        <v/>
      </c>
      <c r="AD45" s="401"/>
      <c r="AE45" s="492" t="str">
        <f t="shared" si="11"/>
        <v/>
      </c>
      <c r="AF45" s="475">
        <f t="shared" si="15" ref="AF45:AF108">G45</f>
        <v>0</v>
      </c>
      <c r="AG45" s="474"/>
      <c r="AH45" s="420"/>
    </row>
    <row r="46" spans="1:34" ht="15" customHeight="1" thickTop="1">
      <c r="A46" s="695" t="s">
        <v>96</v>
      </c>
      <c r="B46" s="700" t="str">
        <f>CONCATENATE("Ramal 1 - Derivando no ponto ",C46)</f>
        <v>Ramal 1 - Derivando no ponto 4</v>
      </c>
      <c r="C46" s="508" t="s">
        <v>60</v>
      </c>
      <c r="D46" s="809" t="s">
        <v>249</v>
      </c>
      <c r="E46" s="508">
        <v>3</v>
      </c>
      <c r="F46" s="811">
        <f>IF(OR(E46="",$G$11=""),"",IF($G$11&gt;0,E46*$G$11*($J$11/100+1)^($J$15-1),E46*$E$11*($J$11/100+1)^($J$15-1)))</f>
        <v>6.6366641250000011</v>
      </c>
      <c r="G46" s="534">
        <v>0.017999999999999999</v>
      </c>
      <c r="H46" s="812">
        <f>IF(AND(E46="",G46=""),"",SUM(F46:G54))</f>
        <v>39.927984750000014</v>
      </c>
      <c r="I46" s="183"/>
      <c r="J46" s="511" t="s">
        <v>237</v>
      </c>
      <c r="K46" s="511">
        <v>35</v>
      </c>
      <c r="L46" s="512">
        <f>IF(J46="Duplex",VLOOKUP(M46,'Características dos Cabos M EX'!$C$12:$I$14,7),(IF(J46="Triplex",VLOOKUP(M46,'Características dos Cabos M EX'!$C$15:$J$20,8),(IF(J46="Quadruplex",VLOOKUP(M46,'Características dos Cabos M EX'!$C$21:$K$27,9),(IF(J46="13",VLOOKUP(M46,'Características dos Cabos M EX'!$C$15:$L$20,10),"")))))))</f>
        <v>7.8601108033241046E-05</v>
      </c>
      <c r="M46" s="185" t="str">
        <f t="shared" si="5"/>
        <v>d</v>
      </c>
      <c r="N46" s="814">
        <v>35</v>
      </c>
      <c r="O46" s="217">
        <f t="shared" si="16" ref="O46:O109">IF(OR(N46="",L46="",H46=""),"",N46*L46*H46)</f>
        <v>0.10984343450095234</v>
      </c>
      <c r="P46" s="217">
        <f>IF(O46="","",O46+VLOOKUP(C46,$D$21:$Q$44,13,FALSE))</f>
        <v>0.46043916024437359</v>
      </c>
      <c r="Q46" s="217">
        <f t="shared" si="6"/>
        <v>60.664296693715222</v>
      </c>
      <c r="R46" s="218">
        <f>IF(J46="Duplex",VLOOKUP(M46,'Características dos Cabos MX CH'!$C$12:$I$14,5),(IF(J46="Triplex",VLOOKUP(M46,'Características dos Cabos MX CH'!$C$15:$J$20,5),(IF(J46="Quadruplex",VLOOKUP(M46,'Características dos Cabos MX CH'!$C$21:$K$27,5),(IF(J46="13",VLOOKUP(M46,'Características dos Cabos MX CH'!$C$15:$L$20,5),"")))))))</f>
        <v>126</v>
      </c>
      <c r="S46" s="218">
        <f>IF(J46="Duplex",VLOOKUP(M46,'Características dos Cabos MX CH'!$C$12:$I$14,6),(IF(J46="Triplex",VLOOKUP(M46,'Características dos Cabos MX CH'!$C$15:$J$20,6),(IF(J46="Quadruplex",VLOOKUP(M46,'Características dos Cabos MX CH'!$C$21:$K$27,6),(IF(J46="13",VLOOKUP(M46,'Características dos Cabos MX CH'!$C$15:$L$20,6),"")))))))</f>
        <v>148</v>
      </c>
      <c r="T46" s="219">
        <f t="shared" si="13"/>
        <v>0.40989389657915692</v>
      </c>
      <c r="U46" s="449">
        <f>IF(J46="Duplex",VLOOKUP(M46,'Características dos Cabos MX CH'!$C$12:$I$14,2),(IF(J46="Triplex",VLOOKUP(M46,'Características dos Cabos MX CH'!$C$15:$J$20,2),(IF(J46="Quadruplex",VLOOKUP(M46,'Características dos Cabos MX CH'!$C$21:$K$27,2),(IF(J46="13",VLOOKUP(M46,'Características dos Cabos MX CH'!$C$15:$L$20,2),"")))))))</f>
        <v>1.1201000000000001</v>
      </c>
      <c r="V46" s="218">
        <f>IF(J46="Duplex",VLOOKUP(M46,'Características dos Cabos MX CH'!$C$12:$I$14,3),(IF(J46="Triplex",VLOOKUP(M46,'Características dos Cabos MX CH'!$C$15:$J$20,3),(IF(J46="Quadruplex",VLOOKUP(M46,'Características dos Cabos MX CH'!$C$21:$K$27,3),(IF(J46="13",VLOOKUP(M46,'Características dos Cabos MX CH'!$C$15:$L$20,3),"")))))))</f>
        <v>1.1201000000000001</v>
      </c>
      <c r="W46" s="220">
        <f t="shared" si="17" ref="W46:W109">IF(OR(O46="",$G$15="",H46="",N46=""),"",IF(J46="Quadruplex",3*$L$13*U46*O46/1000*R46^2*8.76,IF(J46="Triplex",2*$L$13*U46*O46/1000*R46^2*8.76,IF(J46="Duplex",$L$13*U46*O46/1000*R46^2*8.76))))</f>
        <v>11.909275359232513</v>
      </c>
      <c r="X46" s="220">
        <f t="shared" si="18" ref="X46:X109">IF(OR(O46="",$G$15="",H46="",N46=""),"",IF(J46="Quadruplex",3*$L$13*V46*O46/1000*R46^2*8.76,IF(J46="triplex",2*$L$13*V46*O46/1000*R46^2*8.76,IF(J46="Duplex",$L$13*V46*O46/1000*R46^2*8.76))))</f>
        <v>11.909275359232513</v>
      </c>
      <c r="Y46" s="221">
        <f t="shared" si="19" ref="Y46:Y109">IF(OR(V46="",W46="",X46=""),"",IF($L$11="PE",W46,IF($L$11="XLPE",X46,"")))</f>
        <v>11.909275359232513</v>
      </c>
      <c r="Z46" s="463">
        <f>IF(O46="","",VLOOKUP(C46,$D$21:$P$44,13,FALSE))</f>
        <v>0.35059572574342124</v>
      </c>
      <c r="AA46" s="488" t="str">
        <f>D46</f>
        <v>23</v>
      </c>
      <c r="AB46" s="488">
        <f t="shared" si="3"/>
        <v>35</v>
      </c>
      <c r="AC46" s="485"/>
      <c r="AD46" s="408"/>
      <c r="AE46" s="492">
        <f t="shared" si="11"/>
        <v>6.6366641250000011</v>
      </c>
      <c r="AF46" s="475">
        <f t="shared" si="15"/>
        <v>0.017999999999999999</v>
      </c>
      <c r="AG46" s="484"/>
      <c r="AH46" s="420"/>
    </row>
    <row r="47" spans="1:44" ht="15" customHeight="1">
      <c r="A47" s="696"/>
      <c r="B47" s="698"/>
      <c r="C47" s="493" t="s">
        <v>249</v>
      </c>
      <c r="D47" s="513" t="s">
        <v>250</v>
      </c>
      <c r="E47" s="810">
        <v>3</v>
      </c>
      <c r="F47" s="357">
        <f>IF(OR(E47="",$G$11=""),"",IF($G$11&gt;0,E47*$G$11*($J$11/100+1)^($J$15-1),E47*$E$11*($J$11/100+1)^($J$15-1)))</f>
        <v>6.6366641250000011</v>
      </c>
      <c r="G47" s="813">
        <v>0.017999999999999999</v>
      </c>
      <c r="H47" s="190">
        <f>IF(AND(E47="",G47=""),"",SUM(F47:G55))</f>
        <v>33.273320625000011</v>
      </c>
      <c r="I47" s="191"/>
      <c r="J47" s="514" t="s">
        <v>237</v>
      </c>
      <c r="K47" s="514">
        <v>35</v>
      </c>
      <c r="L47" s="197">
        <f>IF(J47="Duplex",VLOOKUP(M47,'Características dos Cabos M EX'!$C$12:$I$14,7),(IF(J47="Triplex",VLOOKUP(M47,'Características dos Cabos M EX'!$C$15:$J$20,8),(IF(J47="Quadruplex",VLOOKUP(M47,'Características dos Cabos M EX'!$C$21:$K$27,9),(IF(J47="13",VLOOKUP(M47,'Características dos Cabos M EX'!$C$15:$L$20,10),"")))))))</f>
        <v>7.8601108033241046E-05</v>
      </c>
      <c r="M47" s="350" t="str">
        <f t="shared" si="5"/>
        <v>d</v>
      </c>
      <c r="N47" s="491">
        <v>35</v>
      </c>
      <c r="O47" s="192">
        <f t="shared" si="16"/>
        <v>0.091536195417460275</v>
      </c>
      <c r="P47" s="192">
        <f>IF(O47="","",SUM($O$46:O47)+$Z$46)</f>
        <v>0.55197535566183387</v>
      </c>
      <c r="Q47" s="192">
        <f>IF(H47="","",IF(J47="Quadruplex",H47*1000/($D$13*SQRT(3)),IF(J47="Triplex",H47*1000*SQRT(3)/($D$13*2),IF(J47="Duplex",H47*1000*SQRT(3)/$D$13,IF(J47="13",H47*1000/$D$15,IF(J47="12",H47*1000*2/$D$15,"erro"))))))</f>
        <v>50.55358057809601</v>
      </c>
      <c r="R47" s="193">
        <f>IF(J47="Duplex",VLOOKUP(M47,'Características dos Cabos MX CH'!$C$12:$I$14,5),(IF(J47="Triplex",VLOOKUP(M47,'Características dos Cabos MX CH'!$C$15:$J$20,5),(IF(J47="Quadruplex",VLOOKUP(M47,'Características dos Cabos MX CH'!$C$21:$K$27,5),(IF(J47="13",VLOOKUP(M47,'Características dos Cabos MX CH'!$C$15:$L$20,5),"")))))))</f>
        <v>126</v>
      </c>
      <c r="S47" s="193">
        <f>IF(J47="Duplex",VLOOKUP(M47,'Características dos Cabos MX CH'!$C$12:$I$14,6),(IF(J47="Triplex",VLOOKUP(M47,'Características dos Cabos MX CH'!$C$15:$J$20,6),(IF(J47="Quadruplex",VLOOKUP(M47,'Características dos Cabos MX CH'!$C$21:$K$27,6),(IF(J47="13",VLOOKUP(M47,'Características dos Cabos MX CH'!$C$15:$L$20,6),"")))))))</f>
        <v>148</v>
      </c>
      <c r="T47" s="194">
        <f t="shared" si="13"/>
        <v>0.34157824714929735</v>
      </c>
      <c r="U47" s="447">
        <f>IF(J47="Duplex",VLOOKUP(M47,'Características dos Cabos MX CH'!$C$12:$I$14,2),(IF(J47="Triplex",VLOOKUP(M47,'Características dos Cabos MX CH'!$C$15:$J$20,2),(IF(J47="Quadruplex",VLOOKUP(M47,'Características dos Cabos MX CH'!$C$21:$K$27,2),(IF(J47="13",VLOOKUP(M47,'Características dos Cabos MX CH'!$C$15:$L$20,2),"")))))))</f>
        <v>1.1201000000000001</v>
      </c>
      <c r="V47" s="193">
        <f>IF(J47="Duplex",VLOOKUP(M47,'Características dos Cabos MX CH'!$C$12:$I$14,3),(IF(J47="Triplex",VLOOKUP(M47,'Características dos Cabos MX CH'!$C$15:$J$20,3),(IF(J47="Quadruplex",VLOOKUP(M47,'Características dos Cabos MX CH'!$C$21:$K$27,3),(IF(J47="13",VLOOKUP(M47,'Características dos Cabos MX CH'!$C$15:$L$20,3),"")))))))</f>
        <v>1.1201000000000001</v>
      </c>
      <c r="W47" s="195">
        <f t="shared" si="17"/>
        <v>9.9243961326937615</v>
      </c>
      <c r="X47" s="195">
        <f t="shared" si="18"/>
        <v>9.9243961326937615</v>
      </c>
      <c r="Y47" s="196">
        <f t="shared" si="19"/>
        <v>9.9243961326937615</v>
      </c>
      <c r="AA47" s="488" t="str">
        <f>D47</f>
        <v>24</v>
      </c>
      <c r="AB47" s="488">
        <f t="shared" si="3"/>
        <v>35</v>
      </c>
      <c r="AC47" s="485"/>
      <c r="AE47" s="492">
        <f t="shared" si="11"/>
        <v>6.6366641250000011</v>
      </c>
      <c r="AF47" s="475">
        <f t="shared" si="15"/>
        <v>0.017999999999999999</v>
      </c>
      <c r="AH47" s="420"/>
      <c r="AO47" s="398"/>
      <c r="AP47" s="399"/>
      <c r="AQ47" s="399"/>
      <c r="AR47" s="400"/>
    </row>
    <row r="48" spans="1:44" ht="15" customHeight="1">
      <c r="A48" s="696"/>
      <c r="B48" s="698"/>
      <c r="C48" s="515" t="s">
        <v>250</v>
      </c>
      <c r="D48" s="513" t="s">
        <v>251</v>
      </c>
      <c r="E48" s="509">
        <v>3</v>
      </c>
      <c r="F48" s="357">
        <f>IF(OR(E48="",$G$11=""),"",IF($G$11&gt;0,E48*$G$11*($J$11/100+1)^($J$15-1),E48*$E$11*($J$11/100+1)^($J$15-1)))</f>
        <v>6.6366641250000011</v>
      </c>
      <c r="G48" s="510">
        <v>0.017999999999999999</v>
      </c>
      <c r="H48" s="190">
        <f>IF(AND(E48="",G48=""),"",SUM(F48:G55))</f>
        <v>26.618656500000007</v>
      </c>
      <c r="I48" s="191"/>
      <c r="J48" s="514" t="s">
        <v>237</v>
      </c>
      <c r="K48" s="514">
        <v>35</v>
      </c>
      <c r="L48" s="197">
        <f>IF(J48="Duplex",VLOOKUP(M48,'Características dos Cabos M EX'!$C$12:$I$14,7),(IF(J48="Triplex",VLOOKUP(M48,'Características dos Cabos M EX'!$C$15:$J$20,8),(IF(J48="Quadruplex",VLOOKUP(M48,'Características dos Cabos M EX'!$C$21:$K$27,9),(IF(J48="13",VLOOKUP(M48,'Características dos Cabos M EX'!$C$15:$L$20,10),"")))))))</f>
        <v>7.8601108033241046E-05</v>
      </c>
      <c r="M48" s="350" t="str">
        <f t="shared" si="5"/>
        <v>d</v>
      </c>
      <c r="N48" s="491">
        <v>35</v>
      </c>
      <c r="O48" s="192">
        <f t="shared" si="16"/>
        <v>0.073228956333968212</v>
      </c>
      <c r="P48" s="192">
        <f>IF(O48="","",SUM($O$46:O48)+$Z$46)</f>
        <v>0.62520431199580206</v>
      </c>
      <c r="Q48" s="192">
        <f t="shared" si="6"/>
        <v>40.442864462476813</v>
      </c>
      <c r="R48" s="193">
        <f>IF(J48="Duplex",VLOOKUP(M48,'Características dos Cabos MX CH'!$C$12:$I$14,5),(IF(J48="Triplex",VLOOKUP(M48,'Características dos Cabos MX CH'!$C$15:$J$20,5),(IF(J48="Quadruplex",VLOOKUP(M48,'Características dos Cabos MX CH'!$C$21:$K$27,5),(IF(J48="13",VLOOKUP(M48,'Características dos Cabos MX CH'!$C$15:$L$20,5),"")))))))</f>
        <v>126</v>
      </c>
      <c r="S48" s="193">
        <f>IF(J48="Duplex",VLOOKUP(M48,'Características dos Cabos MX CH'!$C$12:$I$14,6),(IF(J48="Triplex",VLOOKUP(M48,'Características dos Cabos MX CH'!$C$15:$J$20,6),(IF(J48="Quadruplex",VLOOKUP(M48,'Características dos Cabos MX CH'!$C$21:$K$27,6),(IF(J48="13",VLOOKUP(M48,'Características dos Cabos MX CH'!$C$15:$L$20,6),"")))))))</f>
        <v>148</v>
      </c>
      <c r="T48" s="194">
        <f t="shared" si="13"/>
        <v>0.27326259771943795</v>
      </c>
      <c r="U48" s="447">
        <f>IF(J48="Duplex",VLOOKUP(M48,'Características dos Cabos MX CH'!$C$12:$I$14,2),(IF(J48="Triplex",VLOOKUP(M48,'Características dos Cabos MX CH'!$C$15:$J$20,2),(IF(J48="Quadruplex",VLOOKUP(M48,'Características dos Cabos MX CH'!$C$21:$K$27,2),(IF(J48="13",VLOOKUP(M48,'Características dos Cabos MX CH'!$C$15:$L$20,2),"")))))))</f>
        <v>1.1201000000000001</v>
      </c>
      <c r="V48" s="193">
        <f>IF(J48="Duplex",VLOOKUP(M48,'Características dos Cabos MX CH'!$C$12:$I$14,3),(IF(J48="Triplex",VLOOKUP(M48,'Características dos Cabos MX CH'!$C$15:$J$20,3),(IF(J48="Quadruplex",VLOOKUP(M48,'Características dos Cabos MX CH'!$C$21:$K$27,3),(IF(J48="13",VLOOKUP(M48,'Características dos Cabos MX CH'!$C$15:$L$20,3),"")))))))</f>
        <v>1.1201000000000001</v>
      </c>
      <c r="W48" s="195">
        <f t="shared" si="17"/>
        <v>7.9395169061550073</v>
      </c>
      <c r="X48" s="195">
        <f t="shared" si="18"/>
        <v>7.9395169061550073</v>
      </c>
      <c r="Y48" s="196">
        <f t="shared" si="19"/>
        <v>7.9395169061550073</v>
      </c>
      <c r="AA48" s="488" t="str">
        <f>D48</f>
        <v>25</v>
      </c>
      <c r="AB48" s="488">
        <f t="shared" si="3"/>
        <v>35</v>
      </c>
      <c r="AC48" s="485"/>
      <c r="AE48" s="492">
        <f t="shared" si="11"/>
        <v>6.6366641250000011</v>
      </c>
      <c r="AF48" s="475">
        <f t="shared" si="15"/>
        <v>0.017999999999999999</v>
      </c>
      <c r="AH48" s="420"/>
      <c r="AO48" s="401"/>
      <c r="AP48" s="411" t="s">
        <v>125</v>
      </c>
      <c r="AQ48" s="411" t="s">
        <v>126</v>
      </c>
      <c r="AR48" s="403"/>
    </row>
    <row r="49" spans="1:44" ht="15" customHeight="1">
      <c r="A49" s="696"/>
      <c r="B49" s="698"/>
      <c r="C49" s="515" t="s">
        <v>251</v>
      </c>
      <c r="D49" s="513" t="s">
        <v>252</v>
      </c>
      <c r="E49" s="509">
        <v>3</v>
      </c>
      <c r="F49" s="357">
        <f>IF(OR(E49="",$G$11=""),"",IF($G$11&gt;0,E49*$G$11*($J$11/100+1)^($J$15-1),E49*$E$11*($J$11/100+1)^($J$15-1)))</f>
        <v>6.6366641250000011</v>
      </c>
      <c r="G49" s="510">
        <v>0.017999999999999999</v>
      </c>
      <c r="H49" s="190">
        <f>IF(AND(E49="",G49=""),"",SUM(F49:G55))</f>
        <v>19.963992375000004</v>
      </c>
      <c r="I49" s="191"/>
      <c r="J49" s="514" t="s">
        <v>237</v>
      </c>
      <c r="K49" s="514">
        <v>35</v>
      </c>
      <c r="L49" s="197">
        <f>IF(J49="Duplex",VLOOKUP(M49,'Características dos Cabos M EX'!$C$12:$I$14,7),(IF(J49="Triplex",VLOOKUP(M49,'Características dos Cabos M EX'!$C$15:$J$20,8),(IF(J49="Quadruplex",VLOOKUP(M49,'Características dos Cabos M EX'!$C$21:$K$27,9),(IF(J49="13",VLOOKUP(M49,'Características dos Cabos M EX'!$C$15:$L$20,10),"")))))))</f>
        <v>7.8601108033241046E-05</v>
      </c>
      <c r="M49" s="350" t="str">
        <f>IF(K49=10,"a",IF(K49=16,"b",IF(K49=25,"c",IF(K49=35,"d",IF(K49=50,"e",(IF(K49=70,"f",(IF(K49=120,"g","")))))))))</f>
        <v>d</v>
      </c>
      <c r="N49" s="491">
        <v>35</v>
      </c>
      <c r="O49" s="192">
        <f t="shared" si="16"/>
        <v>0.054921717250476156</v>
      </c>
      <c r="P49" s="192">
        <f>IF(O49="","",SUM($O$46:O49)+$Z$46)</f>
        <v>0.6801260292462783</v>
      </c>
      <c r="Q49" s="192">
        <f t="shared" si="6"/>
        <v>30.332148346857608</v>
      </c>
      <c r="R49" s="193">
        <f>IF(J49="Duplex",VLOOKUP(M49,'Características dos Cabos MX CH'!$C$12:$I$14,5),(IF(J49="Triplex",VLOOKUP(M49,'Características dos Cabos MX CH'!$C$15:$J$20,5),(IF(J49="Quadruplex",VLOOKUP(M49,'Características dos Cabos MX CH'!$C$21:$K$27,5),(IF(J49="13",VLOOKUP(M49,'Características dos Cabos MX CH'!$C$15:$L$20,5),"")))))))</f>
        <v>126</v>
      </c>
      <c r="S49" s="193">
        <f>IF(J49="Duplex",VLOOKUP(M49,'Características dos Cabos MX CH'!$C$12:$I$14,6),(IF(J49="Triplex",VLOOKUP(M49,'Características dos Cabos MX CH'!$C$15:$J$20,6),(IF(J49="Quadruplex",VLOOKUP(M49,'Características dos Cabos MX CH'!$C$21:$K$27,6),(IF(J49="13",VLOOKUP(M49,'Características dos Cabos MX CH'!$C$15:$L$20,6),"")))))))</f>
        <v>148</v>
      </c>
      <c r="T49" s="194">
        <f t="shared" si="13"/>
        <v>0.20494694828957843</v>
      </c>
      <c r="U49" s="447">
        <f>IF(J49="Duplex",VLOOKUP(M49,'Características dos Cabos MX CH'!$C$12:$I$14,2),(IF(J49="Triplex",VLOOKUP(M49,'Características dos Cabos MX CH'!$C$15:$J$20,2),(IF(J49="Quadruplex",VLOOKUP(M49,'Características dos Cabos MX CH'!$C$21:$K$27,2),(IF(J49="13",VLOOKUP(M49,'Características dos Cabos MX CH'!$C$15:$L$20,2),"")))))))</f>
        <v>1.1201000000000001</v>
      </c>
      <c r="V49" s="193">
        <f>IF(J49="Duplex",VLOOKUP(M49,'Características dos Cabos MX CH'!$C$12:$I$14,3),(IF(J49="Triplex",VLOOKUP(M49,'Características dos Cabos MX CH'!$C$15:$J$20,3),(IF(J49="Quadruplex",VLOOKUP(M49,'Características dos Cabos MX CH'!$C$21:$K$27,3),(IF(J49="13",VLOOKUP(M49,'Características dos Cabos MX CH'!$C$15:$L$20,3),"")))))))</f>
        <v>1.1201000000000001</v>
      </c>
      <c r="W49" s="195">
        <f t="shared" si="17"/>
        <v>5.9546376796162548</v>
      </c>
      <c r="X49" s="195">
        <f t="shared" si="18"/>
        <v>5.9546376796162548</v>
      </c>
      <c r="Y49" s="196">
        <f t="shared" si="19"/>
        <v>5.9546376796162548</v>
      </c>
      <c r="AA49" s="488" t="str">
        <f>D49</f>
        <v>26</v>
      </c>
      <c r="AB49" s="488">
        <f>K49</f>
        <v>35</v>
      </c>
      <c r="AC49" s="516"/>
      <c r="AE49" s="492">
        <f t="shared" si="11"/>
        <v>6.6366641250000011</v>
      </c>
      <c r="AF49" s="475">
        <f t="shared" si="15"/>
        <v>0.017999999999999999</v>
      </c>
      <c r="AH49" s="420"/>
      <c r="AO49" s="401"/>
      <c r="AP49" s="412">
        <v>1</v>
      </c>
      <c r="AQ49" s="412">
        <v>1</v>
      </c>
      <c r="AR49" s="403"/>
    </row>
    <row r="50" spans="1:44" ht="15" customHeight="1">
      <c r="A50" s="696"/>
      <c r="B50" s="698"/>
      <c r="C50" s="515" t="s">
        <v>252</v>
      </c>
      <c r="D50" s="513" t="s">
        <v>253</v>
      </c>
      <c r="E50" s="509">
        <v>3</v>
      </c>
      <c r="F50" s="357">
        <f t="shared" si="4"/>
        <v>6.6366641250000011</v>
      </c>
      <c r="G50" s="510">
        <v>0.017999999999999999</v>
      </c>
      <c r="H50" s="190">
        <f>IF(AND(E50="",G50=""),"",SUM(F50:G55))</f>
        <v>13.309328250000004</v>
      </c>
      <c r="I50" s="191"/>
      <c r="J50" s="514" t="s">
        <v>237</v>
      </c>
      <c r="K50" s="514">
        <v>35</v>
      </c>
      <c r="L50" s="197">
        <f>IF(J50="Duplex",VLOOKUP(M50,'Características dos Cabos M EX'!$C$12:$I$14,7),(IF(J50="Triplex",VLOOKUP(M50,'Características dos Cabos M EX'!$C$15:$J$20,8),(IF(J50="Quadruplex",VLOOKUP(M50,'Características dos Cabos M EX'!$C$21:$K$27,9),(IF(J50="13",VLOOKUP(M50,'Características dos Cabos M EX'!$C$15:$L$20,10),"")))))))</f>
        <v>7.8601108033241046E-05</v>
      </c>
      <c r="M50" s="350" t="str">
        <f t="shared" si="5"/>
        <v>d</v>
      </c>
      <c r="N50" s="491">
        <v>35</v>
      </c>
      <c r="O50" s="192">
        <f t="shared" si="16"/>
        <v>0.036614478166984106</v>
      </c>
      <c r="P50" s="192">
        <f>IF(O50="","",SUM($O$46:O50)+$Z$46)</f>
        <v>0.71674050741326234</v>
      </c>
      <c r="Q50" s="192">
        <f t="shared" si="6"/>
        <v>20.221432231238406</v>
      </c>
      <c r="R50" s="193">
        <f>IF(J50="Duplex",VLOOKUP(M50,'Características dos Cabos MX CH'!$C$12:$I$14,5),(IF(J50="Triplex",VLOOKUP(M50,'Características dos Cabos MX CH'!$C$15:$J$20,5),(IF(J50="Quadruplex",VLOOKUP(M50,'Características dos Cabos MX CH'!$C$21:$K$27,5),(IF(J50="13",VLOOKUP(M50,'Características dos Cabos MX CH'!$C$15:$L$20,5),"")))))))</f>
        <v>126</v>
      </c>
      <c r="S50" s="193">
        <f>IF(J50="Duplex",VLOOKUP(M50,'Características dos Cabos MX CH'!$C$12:$I$14,6),(IF(J50="Triplex",VLOOKUP(M50,'Características dos Cabos MX CH'!$C$15:$J$20,6),(IF(J50="Quadruplex",VLOOKUP(M50,'Características dos Cabos MX CH'!$C$21:$K$27,6),(IF(J50="13",VLOOKUP(M50,'Características dos Cabos MX CH'!$C$15:$L$20,6),"")))))))</f>
        <v>148</v>
      </c>
      <c r="T50" s="194">
        <f t="shared" si="13"/>
        <v>0.13663129885971897</v>
      </c>
      <c r="U50" s="447">
        <f>IF(J50="Duplex",VLOOKUP(M50,'Características dos Cabos MX CH'!$C$12:$I$14,2),(IF(J50="Triplex",VLOOKUP(M50,'Características dos Cabos MX CH'!$C$15:$J$20,2),(IF(J50="Quadruplex",VLOOKUP(M50,'Características dos Cabos MX CH'!$C$21:$K$27,2),(IF(J50="13",VLOOKUP(M50,'Características dos Cabos MX CH'!$C$15:$L$20,2),"")))))))</f>
        <v>1.1201000000000001</v>
      </c>
      <c r="V50" s="193">
        <f>IF(J50="Duplex",VLOOKUP(M50,'Características dos Cabos MX CH'!$C$12:$I$14,3),(IF(J50="Triplex",VLOOKUP(M50,'Características dos Cabos MX CH'!$C$15:$J$20,3),(IF(J50="Quadruplex",VLOOKUP(M50,'Características dos Cabos MX CH'!$C$21:$K$27,3),(IF(J50="13",VLOOKUP(M50,'Características dos Cabos MX CH'!$C$15:$L$20,3),"")))))))</f>
        <v>1.1201000000000001</v>
      </c>
      <c r="W50" s="195">
        <f t="shared" si="17"/>
        <v>3.9697584530775036</v>
      </c>
      <c r="X50" s="195">
        <f t="shared" si="18"/>
        <v>3.9697584530775036</v>
      </c>
      <c r="Y50" s="196">
        <f t="shared" si="19"/>
        <v>3.9697584530775036</v>
      </c>
      <c r="AA50" s="488" t="str">
        <f t="shared" si="20" ref="AA50:AA113">D50</f>
        <v>27</v>
      </c>
      <c r="AB50" s="488">
        <f t="shared" si="3"/>
        <v>35</v>
      </c>
      <c r="AC50" s="516"/>
      <c r="AE50" s="492">
        <f t="shared" si="11"/>
        <v>6.6366641250000011</v>
      </c>
      <c r="AF50" s="475">
        <f t="shared" si="15"/>
        <v>0.017999999999999999</v>
      </c>
      <c r="AH50" s="420"/>
      <c r="AO50" s="401"/>
      <c r="AP50" s="412">
        <v>10</v>
      </c>
      <c r="AQ50" s="412">
        <v>1</v>
      </c>
      <c r="AR50" s="403"/>
    </row>
    <row r="51" spans="1:44" ht="15" customHeight="1">
      <c r="A51" s="696"/>
      <c r="B51" s="698"/>
      <c r="C51" s="515" t="s">
        <v>253</v>
      </c>
      <c r="D51" s="513" t="s">
        <v>254</v>
      </c>
      <c r="E51" s="509">
        <v>3</v>
      </c>
      <c r="F51" s="357">
        <f t="shared" si="4"/>
        <v>6.6366641250000011</v>
      </c>
      <c r="G51" s="510">
        <v>0.017999999999999999</v>
      </c>
      <c r="H51" s="190">
        <f>IF(AND(E51="",G51=""),"",SUM(F51:G55))</f>
        <v>6.6546641250000009</v>
      </c>
      <c r="I51" s="191"/>
      <c r="J51" s="514" t="s">
        <v>237</v>
      </c>
      <c r="K51" s="514">
        <v>35</v>
      </c>
      <c r="L51" s="197">
        <f>IF(J51="Duplex",VLOOKUP(M51,'Características dos Cabos M EX'!$C$12:$I$14,7),(IF(J51="Triplex",VLOOKUP(M51,'Características dos Cabos M EX'!$C$15:$J$20,8),(IF(J51="Quadruplex",VLOOKUP(M51,'Características dos Cabos M EX'!$C$21:$K$27,9),(IF(J51="13",VLOOKUP(M51,'Características dos Cabos M EX'!$C$15:$L$20,10),"")))))))</f>
        <v>7.8601108033241046E-05</v>
      </c>
      <c r="M51" s="350" t="str">
        <f t="shared" si="5"/>
        <v>d</v>
      </c>
      <c r="N51" s="491">
        <v>35</v>
      </c>
      <c r="O51" s="192">
        <f t="shared" si="16"/>
        <v>0.01830723908349205</v>
      </c>
      <c r="P51" s="192">
        <f>IF(O51="","",SUM($O$46:O51)+$Z$46)</f>
        <v>0.73504774649675442</v>
      </c>
      <c r="Q51" s="192">
        <f t="shared" si="6"/>
        <v>10.110716115619201</v>
      </c>
      <c r="R51" s="193">
        <f>IF(J51="Duplex",VLOOKUP(M51,'Características dos Cabos MX CH'!$C$12:$I$14,5),(IF(J51="Triplex",VLOOKUP(M51,'Características dos Cabos MX CH'!$C$15:$J$20,5),(IF(J51="Quadruplex",VLOOKUP(M51,'Características dos Cabos MX CH'!$C$21:$K$27,5),(IF(J51="13",VLOOKUP(M51,'Características dos Cabos MX CH'!$C$15:$L$20,5),"")))))))</f>
        <v>126</v>
      </c>
      <c r="S51" s="193">
        <f>IF(J51="Duplex",VLOOKUP(M51,'Características dos Cabos MX CH'!$C$12:$I$14,6),(IF(J51="Triplex",VLOOKUP(M51,'Características dos Cabos MX CH'!$C$15:$J$20,6),(IF(J51="Quadruplex",VLOOKUP(M51,'Características dos Cabos MX CH'!$C$21:$K$27,6),(IF(J51="13",VLOOKUP(M51,'Características dos Cabos MX CH'!$C$15:$L$20,6),"")))))))</f>
        <v>148</v>
      </c>
      <c r="T51" s="194">
        <f t="shared" si="13"/>
        <v>0.068315649429859474</v>
      </c>
      <c r="U51" s="447">
        <f>IF(J51="Duplex",VLOOKUP(M51,'Características dos Cabos MX CH'!$C$12:$I$14,2),(IF(J51="Triplex",VLOOKUP(M51,'Características dos Cabos MX CH'!$C$15:$J$20,2),(IF(J51="Quadruplex",VLOOKUP(M51,'Características dos Cabos MX CH'!$C$21:$K$27,2),(IF(J51="13",VLOOKUP(M51,'Características dos Cabos MX CH'!$C$15:$L$20,2),"")))))))</f>
        <v>1.1201000000000001</v>
      </c>
      <c r="V51" s="193">
        <f>IF(J51="Duplex",VLOOKUP(M51,'Características dos Cabos MX CH'!$C$12:$I$14,3),(IF(J51="Triplex",VLOOKUP(M51,'Características dos Cabos MX CH'!$C$15:$J$20,3),(IF(J51="Quadruplex",VLOOKUP(M51,'Características dos Cabos MX CH'!$C$21:$K$27,3),(IF(J51="13",VLOOKUP(M51,'Características dos Cabos MX CH'!$C$15:$L$20,3),"")))))))</f>
        <v>1.1201000000000001</v>
      </c>
      <c r="W51" s="195">
        <f t="shared" si="17"/>
        <v>1.9848792265387516</v>
      </c>
      <c r="X51" s="195">
        <f t="shared" si="18"/>
        <v>1.9848792265387516</v>
      </c>
      <c r="Y51" s="196">
        <f t="shared" si="19"/>
        <v>1.9848792265387516</v>
      </c>
      <c r="AA51" s="488" t="str">
        <f t="shared" si="20"/>
        <v>28</v>
      </c>
      <c r="AB51" s="488">
        <f t="shared" si="3"/>
        <v>35</v>
      </c>
      <c r="AC51" s="485"/>
      <c r="AE51" s="492">
        <f t="shared" si="11"/>
        <v>6.6366641250000011</v>
      </c>
      <c r="AF51" s="475">
        <f t="shared" si="15"/>
        <v>0.017999999999999999</v>
      </c>
      <c r="AH51" s="420"/>
      <c r="AO51" s="401"/>
      <c r="AP51" s="412">
        <v>20</v>
      </c>
      <c r="AQ51" s="412">
        <v>1</v>
      </c>
      <c r="AR51" s="403"/>
    </row>
    <row r="52" spans="1:44" ht="15" customHeight="1">
      <c r="A52" s="696"/>
      <c r="B52" s="698"/>
      <c r="C52" s="515"/>
      <c r="D52" s="513"/>
      <c r="E52" s="517"/>
      <c r="F52" s="357" t="str">
        <f t="shared" si="4"/>
        <v/>
      </c>
      <c r="G52" s="518"/>
      <c r="H52" s="190" t="str">
        <f>IF(AND(E52="",G52=""),"",SUM(F52:G55))</f>
        <v/>
      </c>
      <c r="I52" s="191"/>
      <c r="J52" s="514"/>
      <c r="K52" s="514"/>
      <c r="L52" s="197" t="str">
        <f>IF(J52="Duplex",VLOOKUP(M52,'Características dos Cabos M EX'!$C$12:$I$14,7),(IF(J52="Triplex",VLOOKUP(M52,'Características dos Cabos M EX'!$C$15:$J$20,8),(IF(J52="Quadruplex",VLOOKUP(M52,'Características dos Cabos M EX'!$C$21:$K$27,9),(IF(J52="13",VLOOKUP(M52,'Características dos Cabos M EX'!$C$15:$L$20,10),"")))))))</f>
        <v/>
      </c>
      <c r="M52" s="350" t="str">
        <f t="shared" si="5"/>
        <v/>
      </c>
      <c r="N52" s="519"/>
      <c r="O52" s="192" t="str">
        <f t="shared" si="16"/>
        <v/>
      </c>
      <c r="P52" s="192" t="str">
        <f t="shared" si="21" ref="P52:P55">IF(O52="","",O52+VLOOKUP(C52,$D$21:$Q$194,13,FALSE))</f>
        <v/>
      </c>
      <c r="Q52" s="192" t="str">
        <f t="shared" si="6"/>
        <v/>
      </c>
      <c r="R52" s="193" t="str">
        <f>IF(J52="Duplex",VLOOKUP(M52,'Características dos Cabos MX CH'!$C$12:$I$14,5),(IF(J52="Triplex",VLOOKUP(M52,'Características dos Cabos MX CH'!$C$15:$J$20,5),(IF(J52="Quadruplex",VLOOKUP(M52,'Características dos Cabos MX CH'!$C$21:$K$27,5),(IF(J52="13",VLOOKUP(M52,'Características dos Cabos MX CH'!$C$15:$L$20,5),"")))))))</f>
        <v/>
      </c>
      <c r="S52" s="193" t="str">
        <f>IF(J52="Duplex",VLOOKUP(M52,'Características dos Cabos MX CH'!$C$12:$I$14,6),(IF(J52="Triplex",VLOOKUP(M52,'Características dos Cabos MX CH'!$C$15:$J$20,6),(IF(J52="Quadruplex",VLOOKUP(M52,'Características dos Cabos MX CH'!$C$21:$K$27,6),(IF(J52="13",VLOOKUP(M52,'Características dos Cabos MX CH'!$C$15:$L$20,6),"")))))))</f>
        <v/>
      </c>
      <c r="T52" s="194" t="str">
        <f t="shared" si="13"/>
        <v/>
      </c>
      <c r="U52" s="447" t="str">
        <f>IF(J52="Duplex",VLOOKUP(M52,'Características dos Cabos MX CH'!$C$12:$I$14,2),(IF(J52="Triplex",VLOOKUP(M52,'Características dos Cabos MX CH'!$C$15:$J$20,2),(IF(J52="Quadruplex",VLOOKUP(M52,'Características dos Cabos MX CH'!$C$21:$K$27,2),(IF(J52="13",VLOOKUP(M52,'Características dos Cabos MX CH'!$C$15:$L$20,2),"")))))))</f>
        <v/>
      </c>
      <c r="V52" s="193" t="str">
        <f>IF(J52="Duplex",VLOOKUP(M52,'Características dos Cabos MX CH'!$C$12:$I$14,3),(IF(J52="Triplex",VLOOKUP(M52,'Características dos Cabos MX CH'!$C$15:$J$20,3),(IF(J52="Quadruplex",VLOOKUP(M52,'Características dos Cabos MX CH'!$C$21:$K$27,3),(IF(J52="13",VLOOKUP(M52,'Características dos Cabos MX CH'!$C$15:$L$20,3),"")))))))</f>
        <v/>
      </c>
      <c r="W52" s="195" t="str">
        <f t="shared" si="17"/>
        <v/>
      </c>
      <c r="X52" s="195" t="str">
        <f t="shared" si="18"/>
        <v/>
      </c>
      <c r="Y52" s="196" t="str">
        <f t="shared" si="19"/>
        <v/>
      </c>
      <c r="AA52" s="488">
        <f t="shared" si="20"/>
        <v>0</v>
      </c>
      <c r="AB52" s="488">
        <f t="shared" si="3"/>
        <v>0</v>
      </c>
      <c r="AC52" s="485"/>
      <c r="AE52" s="492" t="str">
        <f t="shared" si="11"/>
        <v/>
      </c>
      <c r="AF52" s="475">
        <f t="shared" si="15"/>
        <v>0</v>
      </c>
      <c r="AH52" s="420"/>
      <c r="AO52" s="401"/>
      <c r="AP52" s="412">
        <v>30</v>
      </c>
      <c r="AQ52" s="412">
        <v>1</v>
      </c>
      <c r="AR52" s="403"/>
    </row>
    <row r="53" spans="1:44" ht="15" customHeight="1">
      <c r="A53" s="696"/>
      <c r="B53" s="698"/>
      <c r="C53" s="517"/>
      <c r="D53" s="520"/>
      <c r="E53" s="517"/>
      <c r="F53" s="521" t="str">
        <f t="shared" si="22" ref="F53:F116">IF(OR(E53="",$G$11=""),"",E53*$G$11*($J$11/100+1)^($J$15-1))</f>
        <v/>
      </c>
      <c r="G53" s="518"/>
      <c r="H53" s="190" t="str">
        <f>IF(AND(E53="",G53=""),"",SUM(F53:G55))</f>
        <v/>
      </c>
      <c r="I53" s="191"/>
      <c r="J53" s="514"/>
      <c r="K53" s="514"/>
      <c r="L53" s="197" t="str">
        <f>IF(J53="Duplex",VLOOKUP(M53,'Características dos Cabos M EX'!$C$12:$I$14,7),(IF(J53="Triplex",VLOOKUP(M53,'Características dos Cabos M EX'!$C$15:$J$20,8),(IF(J53="Quadruplex",VLOOKUP(M53,'Características dos Cabos M EX'!$C$21:$K$27,9),(IF(J53="13",VLOOKUP(M53,'Características dos Cabos M EX'!$C$15:$L$20,10),"")))))))</f>
        <v/>
      </c>
      <c r="M53" s="350" t="str">
        <f t="shared" si="5"/>
        <v/>
      </c>
      <c r="N53" s="519"/>
      <c r="O53" s="192" t="str">
        <f t="shared" si="16"/>
        <v/>
      </c>
      <c r="P53" s="192" t="str">
        <f t="shared" si="21"/>
        <v/>
      </c>
      <c r="Q53" s="192" t="str">
        <f t="shared" si="6"/>
        <v/>
      </c>
      <c r="R53" s="193" t="str">
        <f>IF(J53="Duplex",VLOOKUP(M53,'Características dos Cabos MX CH'!$C$12:$I$14,5),(IF(J53="Triplex",VLOOKUP(M53,'Características dos Cabos MX CH'!$C$15:$J$20,5),(IF(J53="Quadruplex",VLOOKUP(M53,'Características dos Cabos MX CH'!$C$21:$K$27,5),(IF(J53="13",VLOOKUP(M53,'Características dos Cabos MX CH'!$C$15:$L$20,5),"")))))))</f>
        <v/>
      </c>
      <c r="S53" s="193" t="str">
        <f>IF(J53="Duplex",VLOOKUP(M53,'Características dos Cabos MX CH'!$C$12:$I$14,6),(IF(J53="Triplex",VLOOKUP(M53,'Características dos Cabos MX CH'!$C$15:$J$20,6),(IF(J53="Quadruplex",VLOOKUP(M53,'Características dos Cabos MX CH'!$C$21:$K$27,6),(IF(J53="13",VLOOKUP(M53,'Características dos Cabos MX CH'!$C$15:$L$20,6),"")))))))</f>
        <v/>
      </c>
      <c r="T53" s="194" t="str">
        <f t="shared" si="13"/>
        <v/>
      </c>
      <c r="U53" s="447" t="str">
        <f>IF(J53="Duplex",VLOOKUP(M53,'Características dos Cabos MX CH'!$C$12:$I$14,2),(IF(J53="Triplex",VLOOKUP(M53,'Características dos Cabos MX CH'!$C$15:$J$20,2),(IF(J53="Quadruplex",VLOOKUP(M53,'Características dos Cabos MX CH'!$C$21:$K$27,2),(IF(J53="13",VLOOKUP(M53,'Características dos Cabos MX CH'!$C$15:$L$20,2),"")))))))</f>
        <v/>
      </c>
      <c r="V53" s="193" t="str">
        <f>IF(J53="Duplex",VLOOKUP(M53,'Características dos Cabos MX CH'!$C$12:$I$14,3),(IF(J53="Triplex",VLOOKUP(M53,'Características dos Cabos MX CH'!$C$15:$J$20,3),(IF(J53="Quadruplex",VLOOKUP(M53,'Características dos Cabos MX CH'!$C$21:$K$27,3),(IF(J53="13",VLOOKUP(M53,'Características dos Cabos MX CH'!$C$15:$L$20,3),"")))))))</f>
        <v/>
      </c>
      <c r="W53" s="195" t="str">
        <f t="shared" si="17"/>
        <v/>
      </c>
      <c r="X53" s="195" t="str">
        <f t="shared" si="18"/>
        <v/>
      </c>
      <c r="Y53" s="196" t="str">
        <f t="shared" si="19"/>
        <v/>
      </c>
      <c r="AA53" s="488">
        <f t="shared" si="20"/>
        <v>0</v>
      </c>
      <c r="AB53" s="488">
        <f t="shared" si="3"/>
        <v>0</v>
      </c>
      <c r="AC53" s="485"/>
      <c r="AE53" s="492" t="str">
        <f t="shared" si="11"/>
        <v/>
      </c>
      <c r="AF53" s="475">
        <f t="shared" si="15"/>
        <v>0</v>
      </c>
      <c r="AH53" s="420"/>
      <c r="AO53" s="401"/>
      <c r="AP53" s="412">
        <v>40</v>
      </c>
      <c r="AQ53" s="412">
        <v>1</v>
      </c>
      <c r="AR53" s="403"/>
    </row>
    <row r="54" spans="1:44" ht="15" customHeight="1">
      <c r="A54" s="696"/>
      <c r="B54" s="698"/>
      <c r="C54" s="517"/>
      <c r="D54" s="520"/>
      <c r="E54" s="522"/>
      <c r="F54" s="521" t="str">
        <f t="shared" si="22"/>
        <v/>
      </c>
      <c r="G54" s="518"/>
      <c r="H54" s="190" t="str">
        <f>IF(AND(E54="",G54=""),"",SUM(F54:G55))</f>
        <v/>
      </c>
      <c r="I54" s="191"/>
      <c r="J54" s="514"/>
      <c r="K54" s="514"/>
      <c r="L54" s="197" t="str">
        <f>IF(J54="Duplex",VLOOKUP(M54,'Características dos Cabos M EX'!$C$12:$I$14,7),(IF(J54="Triplex",VLOOKUP(M54,'Características dos Cabos M EX'!$C$15:$J$20,8),(IF(J54="Quadruplex",VLOOKUP(M54,'Características dos Cabos M EX'!$C$21:$K$27,9),(IF(J54="13",VLOOKUP(M54,'Características dos Cabos M EX'!$C$15:$L$20,10),"")))))))</f>
        <v/>
      </c>
      <c r="M54" s="350" t="str">
        <f t="shared" si="5"/>
        <v/>
      </c>
      <c r="N54" s="519"/>
      <c r="O54" s="192" t="str">
        <f t="shared" si="16"/>
        <v/>
      </c>
      <c r="P54" s="192" t="str">
        <f t="shared" si="21"/>
        <v/>
      </c>
      <c r="Q54" s="192" t="str">
        <f t="shared" si="6"/>
        <v/>
      </c>
      <c r="R54" s="193" t="str">
        <f>IF(J54="Duplex",VLOOKUP(M54,'Características dos Cabos MX CH'!$C$12:$I$14,5),(IF(J54="Triplex",VLOOKUP(M54,'Características dos Cabos MX CH'!$C$15:$J$20,5),(IF(J54="Quadruplex",VLOOKUP(M54,'Características dos Cabos MX CH'!$C$21:$K$27,5),(IF(J54="13",VLOOKUP(M54,'Características dos Cabos MX CH'!$C$15:$L$20,5),"")))))))</f>
        <v/>
      </c>
      <c r="S54" s="193" t="str">
        <f>IF(J54="Duplex",VLOOKUP(M54,'Características dos Cabos MX CH'!$C$12:$I$14,6),(IF(J54="Triplex",VLOOKUP(M54,'Características dos Cabos MX CH'!$C$15:$J$20,6),(IF(J54="Quadruplex",VLOOKUP(M54,'Características dos Cabos MX CH'!$C$21:$K$27,6),(IF(J54="13",VLOOKUP(M54,'Características dos Cabos MX CH'!$C$15:$L$20,6),"")))))))</f>
        <v/>
      </c>
      <c r="T54" s="194" t="str">
        <f t="shared" si="13"/>
        <v/>
      </c>
      <c r="U54" s="447" t="str">
        <f>IF(J54="Duplex",VLOOKUP(M54,'Características dos Cabos MX CH'!$C$12:$I$14,2),(IF(J54="Triplex",VLOOKUP(M54,'Características dos Cabos MX CH'!$C$15:$J$20,2),(IF(J54="Quadruplex",VLOOKUP(M54,'Características dos Cabos MX CH'!$C$21:$K$27,2),(IF(J54="13",VLOOKUP(M54,'Características dos Cabos MX CH'!$C$15:$L$20,2),"")))))))</f>
        <v/>
      </c>
      <c r="V54" s="193" t="str">
        <f>IF(J54="Duplex",VLOOKUP(M54,'Características dos Cabos MX CH'!$C$12:$I$14,3),(IF(J54="Triplex",VLOOKUP(M54,'Características dos Cabos MX CH'!$C$15:$J$20,3),(IF(J54="Quadruplex",VLOOKUP(M54,'Características dos Cabos MX CH'!$C$21:$K$27,3),(IF(J54="13",VLOOKUP(M54,'Características dos Cabos MX CH'!$C$15:$L$20,3),"")))))))</f>
        <v/>
      </c>
      <c r="W54" s="195" t="str">
        <f t="shared" si="17"/>
        <v/>
      </c>
      <c r="X54" s="195" t="str">
        <f t="shared" si="18"/>
        <v/>
      </c>
      <c r="Y54" s="196" t="str">
        <f t="shared" si="19"/>
        <v/>
      </c>
      <c r="AA54" s="488">
        <f t="shared" si="20"/>
        <v>0</v>
      </c>
      <c r="AB54" s="488">
        <f t="shared" si="3"/>
        <v>0</v>
      </c>
      <c r="AC54" s="485"/>
      <c r="AE54" s="492" t="str">
        <f t="shared" si="11"/>
        <v/>
      </c>
      <c r="AF54" s="475">
        <f t="shared" si="15"/>
        <v>0</v>
      </c>
      <c r="AH54" s="420"/>
      <c r="AO54" s="401"/>
      <c r="AP54" s="413">
        <v>50</v>
      </c>
      <c r="AQ54" s="413">
        <v>1</v>
      </c>
      <c r="AR54" s="403"/>
    </row>
    <row r="55" spans="1:44" ht="15" customHeight="1" thickBot="1">
      <c r="A55" s="696"/>
      <c r="B55" s="699"/>
      <c r="C55" s="523"/>
      <c r="D55" s="524"/>
      <c r="E55" s="525"/>
      <c r="F55" s="526" t="str">
        <f t="shared" si="22"/>
        <v/>
      </c>
      <c r="G55" s="527"/>
      <c r="H55" s="200" t="str">
        <f>IF(AND(E55="",G55=""),"",SUM(F55:G55))</f>
        <v/>
      </c>
      <c r="I55" s="201"/>
      <c r="J55" s="528"/>
      <c r="K55" s="528"/>
      <c r="L55" s="202" t="str">
        <f>IF(J55="Duplex",VLOOKUP(M55,'Características dos Cabos M EX'!$C$12:$I$14,7),(IF(J55="Triplex",VLOOKUP(M55,'Características dos Cabos M EX'!$C$15:$J$20,8),(IF(J55="Quadruplex",VLOOKUP(M55,'Características dos Cabos M EX'!$C$21:$K$27,9),(IF(J55="13",VLOOKUP(M55,'Características dos Cabos M EX'!$C$15:$L$20,10),"")))))))</f>
        <v/>
      </c>
      <c r="M55" s="353" t="str">
        <f t="shared" si="5"/>
        <v/>
      </c>
      <c r="N55" s="529"/>
      <c r="O55" s="203" t="str">
        <f t="shared" si="16"/>
        <v/>
      </c>
      <c r="P55" s="530" t="str">
        <f t="shared" si="21"/>
        <v/>
      </c>
      <c r="Q55" s="203" t="str">
        <f t="shared" si="6"/>
        <v/>
      </c>
      <c r="R55" s="204" t="str">
        <f>IF(J55="Duplex",VLOOKUP(M55,'Características dos Cabos MX CH'!$C$12:$I$14,5),(IF(J55="Triplex",VLOOKUP(M55,'Características dos Cabos MX CH'!$C$15:$J$20,5),(IF(J55="Quadruplex",VLOOKUP(M55,'Características dos Cabos MX CH'!$C$21:$K$27,5),(IF(J55="13",VLOOKUP(M55,'Características dos Cabos MX CH'!$C$15:$L$20,5),"")))))))</f>
        <v/>
      </c>
      <c r="S55" s="204" t="str">
        <f>IF(J55="Duplex",VLOOKUP(M55,'Características dos Cabos MX CH'!$C$12:$I$14,6),(IF(J55="Triplex",VLOOKUP(M55,'Características dos Cabos MX CH'!$C$15:$J$20,6),(IF(J55="Quadruplex",VLOOKUP(M55,'Características dos Cabos MX CH'!$C$21:$K$27,6),(IF(J55="13",VLOOKUP(M55,'Características dos Cabos MX CH'!$C$15:$L$20,6),"")))))))</f>
        <v/>
      </c>
      <c r="T55" s="205" t="str">
        <f t="shared" si="13"/>
        <v/>
      </c>
      <c r="U55" s="448" t="str">
        <f>IF(J55="Duplex",VLOOKUP(M55,'Características dos Cabos MX CH'!$C$12:$I$14,2),(IF(J55="Triplex",VLOOKUP(M55,'Características dos Cabos MX CH'!$C$15:$J$20,2),(IF(J55="Quadruplex",VLOOKUP(M55,'Características dos Cabos MX CH'!$C$21:$K$27,2),(IF(J55="13",VLOOKUP(M55,'Características dos Cabos MX CH'!$C$15:$L$20,2),"")))))))</f>
        <v/>
      </c>
      <c r="V55" s="204" t="str">
        <f>IF(J55="Duplex",VLOOKUP(M55,'Características dos Cabos MX CH'!$C$12:$I$14,3),(IF(J55="Triplex",VLOOKUP(M55,'Características dos Cabos MX CH'!$C$15:$J$20,3),(IF(J55="Quadruplex",VLOOKUP(M55,'Características dos Cabos MX CH'!$C$21:$K$27,3),(IF(J55="13",VLOOKUP(M55,'Características dos Cabos MX CH'!$C$15:$L$20,3),"")))))))</f>
        <v/>
      </c>
      <c r="W55" s="206" t="str">
        <f t="shared" si="17"/>
        <v/>
      </c>
      <c r="X55" s="206" t="str">
        <f t="shared" si="18"/>
        <v/>
      </c>
      <c r="Y55" s="207" t="str">
        <f t="shared" si="19"/>
        <v/>
      </c>
      <c r="AA55" s="488">
        <f t="shared" si="20"/>
        <v>0</v>
      </c>
      <c r="AB55" s="488">
        <f t="shared" si="3"/>
        <v>0</v>
      </c>
      <c r="AC55" s="485"/>
      <c r="AE55" s="492" t="str">
        <f t="shared" si="11"/>
        <v/>
      </c>
      <c r="AF55" s="475">
        <f t="shared" si="15"/>
        <v>0</v>
      </c>
      <c r="AH55" s="420"/>
      <c r="AO55" s="401"/>
      <c r="AP55" s="413">
        <v>60</v>
      </c>
      <c r="AQ55" s="413">
        <v>1.06</v>
      </c>
      <c r="AR55" s="403"/>
    </row>
    <row r="56" spans="1:44" ht="15" customHeight="1" thickTop="1">
      <c r="A56" s="696"/>
      <c r="B56" s="700" t="str">
        <f>CONCATENATE("Ramal 2 - Derivando no ponto ",C56)</f>
        <v>Ramal 2 - Derivando no ponto 18</v>
      </c>
      <c r="C56" s="508" t="s">
        <v>248</v>
      </c>
      <c r="D56" s="531" t="s">
        <v>255</v>
      </c>
      <c r="E56" s="532">
        <v>3</v>
      </c>
      <c r="F56" s="533">
        <f t="shared" si="22"/>
        <v>6.6366641250000011</v>
      </c>
      <c r="G56" s="534">
        <v>0.017999999999999999</v>
      </c>
      <c r="H56" s="209">
        <f>IF(AND(E56="",G56=""),"",SUM(F56:G65))</f>
        <v>26.618656500000007</v>
      </c>
      <c r="I56" s="210"/>
      <c r="J56" s="535" t="s">
        <v>237</v>
      </c>
      <c r="K56" s="535">
        <v>35</v>
      </c>
      <c r="L56" s="211">
        <f>IF(J56="Duplex",VLOOKUP(M56,'Características dos Cabos M EX'!$C$12:$I$14,7),(IF(J56="Triplex",VLOOKUP(M56,'Características dos Cabos M EX'!$C$15:$J$20,8),(IF(J56="Quadruplex",VLOOKUP(M56,'Características dos Cabos M EX'!$C$21:$K$27,9),(IF(J56="13",VLOOKUP(M56,'Características dos Cabos M EX'!$C$15:$L$20,10),"")))))))</f>
        <v>7.8601108033241046E-05</v>
      </c>
      <c r="M56" s="354" t="str">
        <f t="shared" si="5"/>
        <v>d</v>
      </c>
      <c r="N56" s="491">
        <v>35</v>
      </c>
      <c r="O56" s="212">
        <f t="shared" si="16"/>
        <v>0.073228956333968212</v>
      </c>
      <c r="P56" s="212">
        <f>IF(O56="","",O56+VLOOKUP(C56,$D$21:$Q$55,13,FALSE))</f>
        <v>0.52326444326657751</v>
      </c>
      <c r="Q56" s="212">
        <f t="shared" si="6"/>
        <v>40.442864462476813</v>
      </c>
      <c r="R56" s="213">
        <f>IF(J56="Duplex",VLOOKUP(M56,'Características dos Cabos MX CH'!$C$12:$I$14,5),(IF(J56="Triplex",VLOOKUP(M56,'Características dos Cabos MX CH'!$C$15:$J$20,5),(IF(J56="Quadruplex",VLOOKUP(M56,'Características dos Cabos MX CH'!$C$21:$K$27,5),(IF(J56="13",VLOOKUP(M56,'Características dos Cabos MX CH'!$C$15:$L$20,5),"")))))))</f>
        <v>126</v>
      </c>
      <c r="S56" s="213">
        <f>IF(J56="Duplex",VLOOKUP(M56,'Características dos Cabos MX CH'!$C$12:$I$14,6),(IF(J56="Triplex",VLOOKUP(M56,'Características dos Cabos MX CH'!$C$15:$J$20,6),(IF(J56="Quadruplex",VLOOKUP(M56,'Características dos Cabos MX CH'!$C$21:$K$27,6),(IF(J56="13",VLOOKUP(M56,'Características dos Cabos MX CH'!$C$15:$L$20,6),"")))))))</f>
        <v>148</v>
      </c>
      <c r="T56" s="214">
        <f t="shared" si="13"/>
        <v>0.27326259771943795</v>
      </c>
      <c r="U56" s="450">
        <f>IF(J56="Duplex",VLOOKUP(M56,'Características dos Cabos MX CH'!$C$12:$I$14,2),(IF(J56="Triplex",VLOOKUP(M56,'Características dos Cabos MX CH'!$C$15:$J$20,2),(IF(J56="Quadruplex",VLOOKUP(M56,'Características dos Cabos MX CH'!$C$21:$K$27,2),(IF(J56="13",VLOOKUP(M56,'Características dos Cabos MX CH'!$C$15:$L$20,2),"")))))))</f>
        <v>1.1201000000000001</v>
      </c>
      <c r="V56" s="213">
        <f>IF(J56="Duplex",VLOOKUP(M56,'Características dos Cabos MX CH'!$C$12:$I$14,3),(IF(J56="Triplex",VLOOKUP(M56,'Características dos Cabos MX CH'!$C$15:$J$20,3),(IF(J56="Quadruplex",VLOOKUP(M56,'Características dos Cabos MX CH'!$C$21:$K$27,3),(IF(J56="13",VLOOKUP(M56,'Características dos Cabos MX CH'!$C$15:$L$20,3),"")))))))</f>
        <v>1.1201000000000001</v>
      </c>
      <c r="W56" s="215">
        <f t="shared" si="17"/>
        <v>7.9395169061550073</v>
      </c>
      <c r="X56" s="215">
        <f t="shared" si="18"/>
        <v>7.9395169061550073</v>
      </c>
      <c r="Y56" s="216">
        <f t="shared" si="19"/>
        <v>7.9395169061550073</v>
      </c>
      <c r="Z56" s="463">
        <f>IF(O56="","",VLOOKUP(C56,$D$21:$P$55,13,FALSE))</f>
        <v>0.45003548693260931</v>
      </c>
      <c r="AA56" s="488" t="str">
        <f t="shared" si="20"/>
        <v>19</v>
      </c>
      <c r="AB56" s="488">
        <f t="shared" si="3"/>
        <v>35</v>
      </c>
      <c r="AC56" s="485"/>
      <c r="AE56" s="492">
        <f t="shared" si="11"/>
        <v>6.6366641250000011</v>
      </c>
      <c r="AF56" s="475">
        <f t="shared" si="15"/>
        <v>0.017999999999999999</v>
      </c>
      <c r="AH56" s="420"/>
      <c r="AO56" s="401"/>
      <c r="AP56" s="413">
        <v>70</v>
      </c>
      <c r="AQ56" s="413">
        <v>1.1200000000000001</v>
      </c>
      <c r="AR56" s="403"/>
    </row>
    <row r="57" spans="1:44" ht="15" customHeight="1">
      <c r="A57" s="696"/>
      <c r="B57" s="698"/>
      <c r="C57" s="515" t="s">
        <v>255</v>
      </c>
      <c r="D57" s="513" t="s">
        <v>256</v>
      </c>
      <c r="E57" s="509">
        <v>3</v>
      </c>
      <c r="F57" s="357">
        <f t="shared" si="22"/>
        <v>6.6366641250000011</v>
      </c>
      <c r="G57" s="510">
        <v>0.017999999999999999</v>
      </c>
      <c r="H57" s="190">
        <f>IF(AND(E57="",G57=""),"",SUM(F57:G65))</f>
        <v>19.963992375000004</v>
      </c>
      <c r="I57" s="191"/>
      <c r="J57" s="535" t="s">
        <v>237</v>
      </c>
      <c r="K57" s="535">
        <v>35</v>
      </c>
      <c r="L57" s="197">
        <f>IF(J57="Duplex",VLOOKUP(M57,'Características dos Cabos M EX'!$C$12:$I$14,7),(IF(J57="Triplex",VLOOKUP(M57,'Características dos Cabos M EX'!$C$15:$J$20,8),(IF(J57="Quadruplex",VLOOKUP(M57,'Características dos Cabos M EX'!$C$21:$K$27,9),(IF(J57="13",VLOOKUP(M57,'Características dos Cabos M EX'!$C$15:$L$20,10),"")))))))</f>
        <v>7.8601108033241046E-05</v>
      </c>
      <c r="M57" s="350" t="str">
        <f t="shared" si="5"/>
        <v>d</v>
      </c>
      <c r="N57" s="491">
        <v>35</v>
      </c>
      <c r="O57" s="192">
        <f t="shared" si="16"/>
        <v>0.054921717250476156</v>
      </c>
      <c r="P57" s="192">
        <f>IF(O57="","",SUM($O$56:O57)+$Z$56)</f>
        <v>0.57818616051705374</v>
      </c>
      <c r="Q57" s="192">
        <f t="shared" si="6"/>
        <v>30.332148346857608</v>
      </c>
      <c r="R57" s="193">
        <f>IF(J57="Duplex",VLOOKUP(M57,'Características dos Cabos MX CH'!$C$12:$I$14,5),(IF(J57="Triplex",VLOOKUP(M57,'Características dos Cabos MX CH'!$C$15:$J$20,5),(IF(J57="Quadruplex",VLOOKUP(M57,'Características dos Cabos MX CH'!$C$21:$K$27,5),(IF(J57="13",VLOOKUP(M57,'Características dos Cabos MX CH'!$C$15:$L$20,5),"")))))))</f>
        <v>126</v>
      </c>
      <c r="S57" s="193">
        <f>IF(J57="Duplex",VLOOKUP(M57,'Características dos Cabos MX CH'!$C$12:$I$14,6),(IF(J57="Triplex",VLOOKUP(M57,'Características dos Cabos MX CH'!$C$15:$J$20,6),(IF(J57="Quadruplex",VLOOKUP(M57,'Características dos Cabos MX CH'!$C$21:$K$27,6),(IF(J57="13",VLOOKUP(M57,'Características dos Cabos MX CH'!$C$15:$L$20,6),"")))))))</f>
        <v>148</v>
      </c>
      <c r="T57" s="194">
        <f t="shared" si="13"/>
        <v>0.20494694828957843</v>
      </c>
      <c r="U57" s="447">
        <f>IF(J57="Duplex",VLOOKUP(M57,'Características dos Cabos MX CH'!$C$12:$I$14,2),(IF(J57="Triplex",VLOOKUP(M57,'Características dos Cabos MX CH'!$C$15:$J$20,2),(IF(J57="Quadruplex",VLOOKUP(M57,'Características dos Cabos MX CH'!$C$21:$K$27,2),(IF(J57="13",VLOOKUP(M57,'Características dos Cabos MX CH'!$C$15:$L$20,2),"")))))))</f>
        <v>1.1201000000000001</v>
      </c>
      <c r="V57" s="193">
        <f>IF(J57="Duplex",VLOOKUP(M57,'Características dos Cabos MX CH'!$C$12:$I$14,3),(IF(J57="Triplex",VLOOKUP(M57,'Características dos Cabos MX CH'!$C$15:$J$20,3),(IF(J57="Quadruplex",VLOOKUP(M57,'Características dos Cabos MX CH'!$C$21:$K$27,3),(IF(J57="13",VLOOKUP(M57,'Características dos Cabos MX CH'!$C$15:$L$20,3),"")))))))</f>
        <v>1.1201000000000001</v>
      </c>
      <c r="W57" s="195">
        <f t="shared" si="17"/>
        <v>5.9546376796162548</v>
      </c>
      <c r="X57" s="195">
        <f t="shared" si="18"/>
        <v>5.9546376796162548</v>
      </c>
      <c r="Y57" s="196">
        <f t="shared" si="19"/>
        <v>5.9546376796162548</v>
      </c>
      <c r="AA57" s="488" t="str">
        <f t="shared" si="20"/>
        <v>20</v>
      </c>
      <c r="AB57" s="488">
        <f t="shared" si="3"/>
        <v>35</v>
      </c>
      <c r="AC57" s="485"/>
      <c r="AE57" s="492">
        <f t="shared" si="11"/>
        <v>6.6366641250000011</v>
      </c>
      <c r="AF57" s="475">
        <f t="shared" si="15"/>
        <v>0.017999999999999999</v>
      </c>
      <c r="AH57" s="420"/>
      <c r="AO57" s="401"/>
      <c r="AP57" s="413">
        <v>80</v>
      </c>
      <c r="AQ57" s="413">
        <v>1.18</v>
      </c>
      <c r="AR57" s="403"/>
    </row>
    <row r="58" spans="1:44" ht="15" customHeight="1">
      <c r="A58" s="696"/>
      <c r="B58" s="698"/>
      <c r="C58" s="515" t="s">
        <v>256</v>
      </c>
      <c r="D58" s="513" t="s">
        <v>257</v>
      </c>
      <c r="E58" s="509">
        <v>3</v>
      </c>
      <c r="F58" s="357">
        <f t="shared" si="22"/>
        <v>6.6366641250000011</v>
      </c>
      <c r="G58" s="510">
        <v>0.017999999999999999</v>
      </c>
      <c r="H58" s="190">
        <f>IF(AND(E58="",G58=""),"",SUM(F58:G65))</f>
        <v>13.309328250000004</v>
      </c>
      <c r="I58" s="191"/>
      <c r="J58" s="535" t="s">
        <v>237</v>
      </c>
      <c r="K58" s="535">
        <v>35</v>
      </c>
      <c r="L58" s="197">
        <f>IF(J58="Duplex",VLOOKUP(M58,'Características dos Cabos M EX'!$C$12:$I$14,7),(IF(J58="Triplex",VLOOKUP(M58,'Características dos Cabos M EX'!$C$15:$J$20,8),(IF(J58="Quadruplex",VLOOKUP(M58,'Características dos Cabos M EX'!$C$21:$K$27,9),(IF(J58="13",VLOOKUP(M58,'Características dos Cabos M EX'!$C$15:$L$20,10),"")))))))</f>
        <v>7.8601108033241046E-05</v>
      </c>
      <c r="M58" s="350" t="str">
        <f t="shared" si="5"/>
        <v>d</v>
      </c>
      <c r="N58" s="491">
        <v>35</v>
      </c>
      <c r="O58" s="192">
        <f t="shared" si="16"/>
        <v>0.036614478166984106</v>
      </c>
      <c r="P58" s="192">
        <f>IF(O58="","",SUM($O$56:O58)+$Z$56)</f>
        <v>0.61480063868403778</v>
      </c>
      <c r="Q58" s="192">
        <f t="shared" si="6"/>
        <v>20.221432231238406</v>
      </c>
      <c r="R58" s="193">
        <f>IF(J58="Duplex",VLOOKUP(M58,'Características dos Cabos MX CH'!$C$12:$I$14,5),(IF(J58="Triplex",VLOOKUP(M58,'Características dos Cabos MX CH'!$C$15:$J$20,5),(IF(J58="Quadruplex",VLOOKUP(M58,'Características dos Cabos MX CH'!$C$21:$K$27,5),(IF(J58="13",VLOOKUP(M58,'Características dos Cabos MX CH'!$C$15:$L$20,5),"")))))))</f>
        <v>126</v>
      </c>
      <c r="S58" s="193">
        <f>IF(J58="Duplex",VLOOKUP(M58,'Características dos Cabos MX CH'!$C$12:$I$14,6),(IF(J58="Triplex",VLOOKUP(M58,'Características dos Cabos MX CH'!$C$15:$J$20,6),(IF(J58="Quadruplex",VLOOKUP(M58,'Características dos Cabos MX CH'!$C$21:$K$27,6),(IF(J58="13",VLOOKUP(M58,'Características dos Cabos MX CH'!$C$15:$L$20,6),"")))))))</f>
        <v>148</v>
      </c>
      <c r="T58" s="194">
        <f t="shared" si="13"/>
        <v>0.13663129885971897</v>
      </c>
      <c r="U58" s="447">
        <f>IF(J58="Duplex",VLOOKUP(M58,'Características dos Cabos MX CH'!$C$12:$I$14,2),(IF(J58="Triplex",VLOOKUP(M58,'Características dos Cabos MX CH'!$C$15:$J$20,2),(IF(J58="Quadruplex",VLOOKUP(M58,'Características dos Cabos MX CH'!$C$21:$K$27,2),(IF(J58="13",VLOOKUP(M58,'Características dos Cabos MX CH'!$C$15:$L$20,2),"")))))))</f>
        <v>1.1201000000000001</v>
      </c>
      <c r="V58" s="193">
        <f>IF(J58="Duplex",VLOOKUP(M58,'Características dos Cabos MX CH'!$C$12:$I$14,3),(IF(J58="Triplex",VLOOKUP(M58,'Características dos Cabos MX CH'!$C$15:$J$20,3),(IF(J58="Quadruplex",VLOOKUP(M58,'Características dos Cabos MX CH'!$C$21:$K$27,3),(IF(J58="13",VLOOKUP(M58,'Características dos Cabos MX CH'!$C$15:$L$20,3),"")))))))</f>
        <v>1.1201000000000001</v>
      </c>
      <c r="W58" s="195">
        <f t="shared" si="17"/>
        <v>3.9697584530775036</v>
      </c>
      <c r="X58" s="195">
        <f t="shared" si="18"/>
        <v>3.9697584530775036</v>
      </c>
      <c r="Y58" s="196">
        <f t="shared" si="19"/>
        <v>3.9697584530775036</v>
      </c>
      <c r="AA58" s="488" t="str">
        <f t="shared" si="20"/>
        <v>21</v>
      </c>
      <c r="AB58" s="488">
        <f t="shared" si="3"/>
        <v>35</v>
      </c>
      <c r="AC58" s="485"/>
      <c r="AE58" s="492">
        <f t="shared" si="11"/>
        <v>6.6366641250000011</v>
      </c>
      <c r="AF58" s="475">
        <f t="shared" si="15"/>
        <v>0.017999999999999999</v>
      </c>
      <c r="AH58" s="420"/>
      <c r="AO58" s="401"/>
      <c r="AP58" s="413">
        <v>90</v>
      </c>
      <c r="AQ58" s="413">
        <v>1.24</v>
      </c>
      <c r="AR58" s="403"/>
    </row>
    <row r="59" spans="1:44" ht="15" customHeight="1">
      <c r="A59" s="696"/>
      <c r="B59" s="698"/>
      <c r="C59" s="515" t="s">
        <v>257</v>
      </c>
      <c r="D59" s="513" t="s">
        <v>258</v>
      </c>
      <c r="E59" s="509">
        <v>3</v>
      </c>
      <c r="F59" s="357">
        <f t="shared" si="22"/>
        <v>6.6366641250000011</v>
      </c>
      <c r="G59" s="510">
        <v>0.017999999999999999</v>
      </c>
      <c r="H59" s="190">
        <f>IF(AND(E59="",G59=""),"",SUM(F59:G65))</f>
        <v>6.6546641250000009</v>
      </c>
      <c r="I59" s="191"/>
      <c r="J59" s="535" t="s">
        <v>237</v>
      </c>
      <c r="K59" s="514">
        <v>35</v>
      </c>
      <c r="L59" s="197">
        <f>IF(J59="Duplex",VLOOKUP(M59,'Características dos Cabos M EX'!$C$12:$I$14,7),(IF(J59="Triplex",VLOOKUP(M59,'Características dos Cabos M EX'!$C$15:$J$20,8),(IF(J59="Quadruplex",VLOOKUP(M59,'Características dos Cabos M EX'!$C$21:$K$27,9),(IF(J59="13",VLOOKUP(M59,'Características dos Cabos M EX'!$C$15:$L$20,10),"")))))))</f>
        <v>7.8601108033241046E-05</v>
      </c>
      <c r="M59" s="350" t="str">
        <f t="shared" si="5"/>
        <v>d</v>
      </c>
      <c r="N59" s="491">
        <v>35</v>
      </c>
      <c r="O59" s="192">
        <f t="shared" si="16"/>
        <v>0.01830723908349205</v>
      </c>
      <c r="P59" s="192">
        <f>IF(O59="","",SUM($O$56:O59)+$Z$56)</f>
        <v>0.63310787776752986</v>
      </c>
      <c r="Q59" s="192">
        <f t="shared" si="6"/>
        <v>10.110716115619201</v>
      </c>
      <c r="R59" s="193">
        <f>IF(J59="Duplex",VLOOKUP(M59,'Características dos Cabos MX CH'!$C$12:$I$14,5),(IF(J59="Triplex",VLOOKUP(M59,'Características dos Cabos MX CH'!$C$15:$J$20,5),(IF(J59="Quadruplex",VLOOKUP(M59,'Características dos Cabos MX CH'!$C$21:$K$27,5),(IF(J59="13",VLOOKUP(M59,'Características dos Cabos MX CH'!$C$15:$L$20,5),"")))))))</f>
        <v>126</v>
      </c>
      <c r="S59" s="193">
        <f>IF(J59="Duplex",VLOOKUP(M59,'Características dos Cabos MX CH'!$C$12:$I$14,6),(IF(J59="Triplex",VLOOKUP(M59,'Características dos Cabos MX CH'!$C$15:$J$20,6),(IF(J59="Quadruplex",VLOOKUP(M59,'Características dos Cabos MX CH'!$C$21:$K$27,6),(IF(J59="13",VLOOKUP(M59,'Características dos Cabos MX CH'!$C$15:$L$20,6),"")))))))</f>
        <v>148</v>
      </c>
      <c r="T59" s="194">
        <f t="shared" si="13"/>
        <v>0.068315649429859474</v>
      </c>
      <c r="U59" s="447">
        <f>IF(J59="Duplex",VLOOKUP(M59,'Características dos Cabos MX CH'!$C$12:$I$14,2),(IF(J59="Triplex",VLOOKUP(M59,'Características dos Cabos MX CH'!$C$15:$J$20,2),(IF(J59="Quadruplex",VLOOKUP(M59,'Características dos Cabos MX CH'!$C$21:$K$27,2),(IF(J59="13",VLOOKUP(M59,'Características dos Cabos MX CH'!$C$15:$L$20,2),"")))))))</f>
        <v>1.1201000000000001</v>
      </c>
      <c r="V59" s="193">
        <f>IF(J59="Duplex",VLOOKUP(M59,'Características dos Cabos MX CH'!$C$12:$I$14,3),(IF(J59="Triplex",VLOOKUP(M59,'Características dos Cabos MX CH'!$C$15:$J$20,3),(IF(J59="Quadruplex",VLOOKUP(M59,'Características dos Cabos MX CH'!$C$21:$K$27,3),(IF(J59="13",VLOOKUP(M59,'Características dos Cabos MX CH'!$C$15:$L$20,3),"")))))))</f>
        <v>1.1201000000000001</v>
      </c>
      <c r="W59" s="195">
        <f t="shared" si="17"/>
        <v>1.9848792265387516</v>
      </c>
      <c r="X59" s="195">
        <f t="shared" si="18"/>
        <v>1.9848792265387516</v>
      </c>
      <c r="Y59" s="196">
        <f t="shared" si="19"/>
        <v>1.9848792265387516</v>
      </c>
      <c r="AA59" s="488" t="str">
        <f t="shared" si="20"/>
        <v>22</v>
      </c>
      <c r="AB59" s="488">
        <f t="shared" si="3"/>
        <v>35</v>
      </c>
      <c r="AC59" s="485"/>
      <c r="AE59" s="492">
        <f t="shared" si="11"/>
        <v>6.6366641250000011</v>
      </c>
      <c r="AF59" s="475">
        <f t="shared" si="15"/>
        <v>0.017999999999999999</v>
      </c>
      <c r="AH59" s="420"/>
      <c r="AO59" s="401"/>
      <c r="AP59" s="413">
        <v>100</v>
      </c>
      <c r="AQ59" s="413">
        <v>1.82</v>
      </c>
      <c r="AR59" s="403"/>
    </row>
    <row r="60" spans="1:44" ht="15" customHeight="1">
      <c r="A60" s="696"/>
      <c r="B60" s="698"/>
      <c r="C60" s="515"/>
      <c r="D60" s="513"/>
      <c r="E60" s="509"/>
      <c r="F60" s="357" t="str">
        <f t="shared" si="22"/>
        <v/>
      </c>
      <c r="G60" s="510"/>
      <c r="H60" s="190" t="str">
        <f>IF(AND(E60="",G60=""),"",SUM(F60:G65))</f>
        <v/>
      </c>
      <c r="I60" s="191"/>
      <c r="J60" s="535"/>
      <c r="K60" s="514"/>
      <c r="L60" s="197" t="str">
        <f>IF(J60="Duplex",VLOOKUP(M60,'Características dos Cabos M EX'!$C$12:$I$14,7),(IF(J60="Triplex",VLOOKUP(M60,'Características dos Cabos M EX'!$C$15:$J$20,8),(IF(J60="Quadruplex",VLOOKUP(M60,'Características dos Cabos M EX'!$C$21:$K$27,9),(IF(J60="13",VLOOKUP(M60,'Características dos Cabos M EX'!$C$15:$L$20,10),"")))))))</f>
        <v/>
      </c>
      <c r="M60" s="350" t="str">
        <f t="shared" si="5"/>
        <v/>
      </c>
      <c r="N60" s="491"/>
      <c r="O60" s="192" t="str">
        <f t="shared" si="16"/>
        <v/>
      </c>
      <c r="P60" s="192" t="str">
        <f>IF(O60="","",SUM($O$56:O60)+$Z$46)</f>
        <v/>
      </c>
      <c r="Q60" s="192" t="str">
        <f t="shared" si="6"/>
        <v/>
      </c>
      <c r="R60" s="193" t="str">
        <f>IF(J60="Duplex",VLOOKUP(M60,'Características dos Cabos MX CH'!$C$12:$I$14,5),(IF(J60="Triplex",VLOOKUP(M60,'Características dos Cabos MX CH'!$C$15:$J$20,5),(IF(J60="Quadruplex",VLOOKUP(M60,'Características dos Cabos MX CH'!$C$21:$K$27,5),(IF(J60="13",VLOOKUP(M60,'Características dos Cabos MX CH'!$C$15:$L$20,5),"")))))))</f>
        <v/>
      </c>
      <c r="S60" s="193" t="str">
        <f>IF(J60="Duplex",VLOOKUP(M60,'Características dos Cabos MX CH'!$C$12:$I$14,6),(IF(J60="Triplex",VLOOKUP(M60,'Características dos Cabos MX CH'!$C$15:$J$20,6),(IF(J60="Quadruplex",VLOOKUP(M60,'Características dos Cabos MX CH'!$C$21:$K$27,6),(IF(J60="13",VLOOKUP(M60,'Características dos Cabos MX CH'!$C$15:$L$20,6),"")))))))</f>
        <v/>
      </c>
      <c r="T60" s="194" t="str">
        <f t="shared" si="13"/>
        <v/>
      </c>
      <c r="U60" s="447" t="str">
        <f>IF(J60="Duplex",VLOOKUP(M60,'Características dos Cabos MX CH'!$C$12:$I$14,2),(IF(J60="Triplex",VLOOKUP(M60,'Características dos Cabos MX CH'!$C$15:$J$20,2),(IF(J60="Quadruplex",VLOOKUP(M60,'Características dos Cabos MX CH'!$C$21:$K$27,2),(IF(J60="13",VLOOKUP(M60,'Características dos Cabos MX CH'!$C$15:$L$20,2),"")))))))</f>
        <v/>
      </c>
      <c r="V60" s="193" t="str">
        <f>IF(J60="Duplex",VLOOKUP(M60,'Características dos Cabos MX CH'!$C$12:$I$14,3),(IF(J60="Triplex",VLOOKUP(M60,'Características dos Cabos MX CH'!$C$15:$J$20,3),(IF(J60="Quadruplex",VLOOKUP(M60,'Características dos Cabos MX CH'!$C$21:$K$27,3),(IF(J60="13",VLOOKUP(M60,'Características dos Cabos MX CH'!$C$15:$L$20,3),"")))))))</f>
        <v/>
      </c>
      <c r="W60" s="195" t="str">
        <f t="shared" si="17"/>
        <v/>
      </c>
      <c r="X60" s="195" t="str">
        <f t="shared" si="18"/>
        <v/>
      </c>
      <c r="Y60" s="196" t="str">
        <f t="shared" si="19"/>
        <v/>
      </c>
      <c r="AA60" s="488">
        <f t="shared" si="20"/>
        <v>0</v>
      </c>
      <c r="AB60" s="488">
        <f t="shared" si="3"/>
        <v>0</v>
      </c>
      <c r="AC60" s="485"/>
      <c r="AE60" s="492" t="str">
        <f t="shared" si="11"/>
        <v/>
      </c>
      <c r="AF60" s="475">
        <f t="shared" si="15"/>
        <v>0</v>
      </c>
      <c r="AH60" s="420"/>
      <c r="AO60" s="401"/>
      <c r="AP60" s="413">
        <v>110</v>
      </c>
      <c r="AQ60" s="413">
        <v>1.85</v>
      </c>
      <c r="AR60" s="403"/>
    </row>
    <row r="61" spans="1:44" ht="15" customHeight="1">
      <c r="A61" s="696"/>
      <c r="B61" s="698"/>
      <c r="C61" s="515"/>
      <c r="D61" s="513"/>
      <c r="E61" s="509"/>
      <c r="F61" s="357" t="str">
        <f t="shared" si="22"/>
        <v/>
      </c>
      <c r="G61" s="510"/>
      <c r="H61" s="190" t="str">
        <f>IF(AND(E61="",G61=""),"",SUM(F61:G65))</f>
        <v/>
      </c>
      <c r="I61" s="191"/>
      <c r="J61" s="514"/>
      <c r="K61" s="514"/>
      <c r="L61" s="197" t="str">
        <f>IF(J61="Duplex",VLOOKUP(M61,'Características dos Cabos M EX'!$C$12:$I$14,7),(IF(J61="Triplex",VLOOKUP(M61,'Características dos Cabos M EX'!$C$15:$J$20,8),(IF(J61="Quadruplex",VLOOKUP(M61,'Características dos Cabos M EX'!$C$21:$K$27,9),(IF(J61="13",VLOOKUP(M61,'Características dos Cabos M EX'!$C$15:$L$20,10),"")))))))</f>
        <v/>
      </c>
      <c r="M61" s="350" t="str">
        <f t="shared" si="5"/>
        <v/>
      </c>
      <c r="N61" s="491"/>
      <c r="O61" s="192" t="str">
        <f t="shared" si="16"/>
        <v/>
      </c>
      <c r="P61" s="192" t="str">
        <f>IF(O61="","",SUM($O$56:O61)+$Z$46)</f>
        <v/>
      </c>
      <c r="Q61" s="192" t="str">
        <f t="shared" si="6"/>
        <v/>
      </c>
      <c r="R61" s="193" t="str">
        <f>IF(J61="Duplex",VLOOKUP(M61,'Características dos Cabos MX CH'!$C$12:$I$14,5),(IF(J61="Triplex",VLOOKUP(M61,'Características dos Cabos MX CH'!$C$15:$J$20,5),(IF(J61="Quadruplex",VLOOKUP(M61,'Características dos Cabos MX CH'!$C$21:$K$27,5),(IF(J61="13",VLOOKUP(M61,'Características dos Cabos MX CH'!$C$15:$L$20,5),"")))))))</f>
        <v/>
      </c>
      <c r="S61" s="193" t="str">
        <f>IF(J61="Duplex",VLOOKUP(M61,'Características dos Cabos MX CH'!$C$12:$I$14,6),(IF(J61="Triplex",VLOOKUP(M61,'Características dos Cabos MX CH'!$C$15:$J$20,6),(IF(J61="Quadruplex",VLOOKUP(M61,'Características dos Cabos MX CH'!$C$21:$K$27,6),(IF(J61="13",VLOOKUP(M61,'Características dos Cabos MX CH'!$C$15:$L$20,6),"")))))))</f>
        <v/>
      </c>
      <c r="T61" s="194" t="str">
        <f t="shared" si="13"/>
        <v/>
      </c>
      <c r="U61" s="447" t="str">
        <f>IF(J61="Duplex",VLOOKUP(M61,'Características dos Cabos MX CH'!$C$12:$I$14,2),(IF(J61="Triplex",VLOOKUP(M61,'Características dos Cabos MX CH'!$C$15:$J$20,2),(IF(J61="Quadruplex",VLOOKUP(M61,'Características dos Cabos MX CH'!$C$21:$K$27,2),(IF(J61="13",VLOOKUP(M61,'Características dos Cabos MX CH'!$C$15:$L$20,2),"")))))))</f>
        <v/>
      </c>
      <c r="V61" s="193" t="str">
        <f>IF(J61="Duplex",VLOOKUP(M61,'Características dos Cabos MX CH'!$C$12:$I$14,3),(IF(J61="Triplex",VLOOKUP(M61,'Características dos Cabos MX CH'!$C$15:$J$20,3),(IF(J61="Quadruplex",VLOOKUP(M61,'Características dos Cabos MX CH'!$C$21:$K$27,3),(IF(J61="13",VLOOKUP(M61,'Características dos Cabos MX CH'!$C$15:$L$20,3),"")))))))</f>
        <v/>
      </c>
      <c r="W61" s="195" t="str">
        <f t="shared" si="17"/>
        <v/>
      </c>
      <c r="X61" s="195" t="str">
        <f t="shared" si="18"/>
        <v/>
      </c>
      <c r="Y61" s="196" t="str">
        <f t="shared" si="19"/>
        <v/>
      </c>
      <c r="AA61" s="488">
        <f t="shared" si="20"/>
        <v>0</v>
      </c>
      <c r="AB61" s="488">
        <f t="shared" si="3"/>
        <v>0</v>
      </c>
      <c r="AC61" s="485"/>
      <c r="AE61" s="492" t="str">
        <f t="shared" si="11"/>
        <v/>
      </c>
      <c r="AF61" s="475">
        <f t="shared" si="15"/>
        <v>0</v>
      </c>
      <c r="AH61" s="420"/>
      <c r="AO61" s="401"/>
      <c r="AP61" s="413">
        <v>120</v>
      </c>
      <c r="AQ61" s="413">
        <v>1.88</v>
      </c>
      <c r="AR61" s="403"/>
    </row>
    <row r="62" spans="1:44" ht="15" customHeight="1">
      <c r="A62" s="696"/>
      <c r="B62" s="698"/>
      <c r="C62" s="517"/>
      <c r="D62" s="520"/>
      <c r="E62" s="517"/>
      <c r="F62" s="521" t="str">
        <f t="shared" si="22"/>
        <v/>
      </c>
      <c r="G62" s="518"/>
      <c r="H62" s="190" t="str">
        <f>IF(AND(E62="",G62=""),"",SUM(F62:G65))</f>
        <v/>
      </c>
      <c r="I62" s="191"/>
      <c r="J62" s="514"/>
      <c r="K62" s="514"/>
      <c r="L62" s="197" t="str">
        <f>IF(J62="Duplex",VLOOKUP(M62,'Características dos Cabos M EX'!$C$12:$I$14,7),(IF(J62="Triplex",VLOOKUP(M62,'Características dos Cabos M EX'!$C$15:$J$20,8),(IF(J62="Quadruplex",VLOOKUP(M62,'Características dos Cabos M EX'!$C$21:$K$27,9),(IF(J62="13",VLOOKUP(M62,'Características dos Cabos M EX'!$C$15:$L$20,10),"")))))))</f>
        <v/>
      </c>
      <c r="M62" s="350" t="str">
        <f t="shared" si="5"/>
        <v/>
      </c>
      <c r="N62" s="491"/>
      <c r="O62" s="192" t="str">
        <f t="shared" si="16"/>
        <v/>
      </c>
      <c r="P62" s="192" t="str">
        <f>IF(O62="","",SUM($O$56:O62)+$Z$46)</f>
        <v/>
      </c>
      <c r="Q62" s="192" t="str">
        <f t="shared" si="6"/>
        <v/>
      </c>
      <c r="R62" s="193" t="str">
        <f>IF(J62="Duplex",VLOOKUP(M62,'Características dos Cabos MX CH'!$C$12:$I$14,5),(IF(J62="Triplex",VLOOKUP(M62,'Características dos Cabos MX CH'!$C$15:$J$20,5),(IF(J62="Quadruplex",VLOOKUP(M62,'Características dos Cabos MX CH'!$C$21:$K$27,5),(IF(J62="13",VLOOKUP(M62,'Características dos Cabos MX CH'!$C$15:$L$20,5),"")))))))</f>
        <v/>
      </c>
      <c r="S62" s="193" t="str">
        <f>IF(J62="Duplex",VLOOKUP(M62,'Características dos Cabos MX CH'!$C$12:$I$14,6),(IF(J62="Triplex",VLOOKUP(M62,'Características dos Cabos MX CH'!$C$15:$J$20,6),(IF(J62="Quadruplex",VLOOKUP(M62,'Características dos Cabos MX CH'!$C$21:$K$27,6),(IF(J62="13",VLOOKUP(M62,'Características dos Cabos MX CH'!$C$15:$L$20,6),"")))))))</f>
        <v/>
      </c>
      <c r="T62" s="194" t="str">
        <f t="shared" si="13"/>
        <v/>
      </c>
      <c r="U62" s="447" t="str">
        <f>IF(J62="Duplex",VLOOKUP(M62,'Características dos Cabos MX CH'!$C$12:$I$14,2),(IF(J62="Triplex",VLOOKUP(M62,'Características dos Cabos MX CH'!$C$15:$J$20,2),(IF(J62="Quadruplex",VLOOKUP(M62,'Características dos Cabos MX CH'!$C$21:$K$27,2),(IF(J62="13",VLOOKUP(M62,'Características dos Cabos MX CH'!$C$15:$L$20,2),"")))))))</f>
        <v/>
      </c>
      <c r="V62" s="193" t="str">
        <f>IF(J62="Duplex",VLOOKUP(M62,'Características dos Cabos MX CH'!$C$12:$I$14,3),(IF(J62="Triplex",VLOOKUP(M62,'Características dos Cabos MX CH'!$C$15:$J$20,3),(IF(J62="Quadruplex",VLOOKUP(M62,'Características dos Cabos MX CH'!$C$21:$K$27,3),(IF(J62="13",VLOOKUP(M62,'Características dos Cabos MX CH'!$C$15:$L$20,3),"")))))))</f>
        <v/>
      </c>
      <c r="W62" s="195" t="str">
        <f t="shared" si="17"/>
        <v/>
      </c>
      <c r="X62" s="195" t="str">
        <f t="shared" si="18"/>
        <v/>
      </c>
      <c r="Y62" s="196" t="str">
        <f t="shared" si="19"/>
        <v/>
      </c>
      <c r="AA62" s="488">
        <f t="shared" si="20"/>
        <v>0</v>
      </c>
      <c r="AB62" s="488">
        <f t="shared" si="3"/>
        <v>0</v>
      </c>
      <c r="AC62" s="485"/>
      <c r="AE62" s="492" t="str">
        <f t="shared" si="11"/>
        <v/>
      </c>
      <c r="AF62" s="475">
        <f t="shared" si="15"/>
        <v>0</v>
      </c>
      <c r="AH62" s="420"/>
      <c r="AO62" s="401"/>
      <c r="AP62" s="413">
        <v>130</v>
      </c>
      <c r="AQ62" s="413">
        <v>1.90</v>
      </c>
      <c r="AR62" s="403"/>
    </row>
    <row r="63" spans="1:44" ht="15" customHeight="1">
      <c r="A63" s="696"/>
      <c r="B63" s="698"/>
      <c r="C63" s="517"/>
      <c r="D63" s="520"/>
      <c r="E63" s="517"/>
      <c r="F63" s="521" t="str">
        <f t="shared" si="22"/>
        <v/>
      </c>
      <c r="G63" s="518"/>
      <c r="H63" s="190" t="str">
        <f>IF(AND(E63="",G63=""),"",SUM(F63:G65))</f>
        <v/>
      </c>
      <c r="I63" s="191"/>
      <c r="J63" s="514"/>
      <c r="K63" s="514"/>
      <c r="L63" s="197" t="str">
        <f>IF(J63="Duplex",VLOOKUP(M63,'Características dos Cabos M EX'!$C$12:$I$14,7),(IF(J63="Triplex",VLOOKUP(M63,'Características dos Cabos M EX'!$C$15:$J$20,8),(IF(J63="Quadruplex",VLOOKUP(M63,'Características dos Cabos M EX'!$C$21:$K$27,9),(IF(J63="13",VLOOKUP(M63,'Características dos Cabos M EX'!$C$15:$L$20,10),"")))))))</f>
        <v/>
      </c>
      <c r="M63" s="350" t="str">
        <f t="shared" si="5"/>
        <v/>
      </c>
      <c r="N63" s="491"/>
      <c r="O63" s="192" t="str">
        <f t="shared" si="16"/>
        <v/>
      </c>
      <c r="P63" s="192" t="str">
        <f>IF(O63="","",SUM($O$56:O63)+$Z$46)</f>
        <v/>
      </c>
      <c r="Q63" s="192" t="str">
        <f t="shared" si="6"/>
        <v/>
      </c>
      <c r="R63" s="193" t="str">
        <f>IF(J63="Duplex",VLOOKUP(M63,'Características dos Cabos MX CH'!$C$12:$I$14,5),(IF(J63="Triplex",VLOOKUP(M63,'Características dos Cabos MX CH'!$C$15:$J$20,5),(IF(J63="Quadruplex",VLOOKUP(M63,'Características dos Cabos MX CH'!$C$21:$K$27,5),(IF(J63="13",VLOOKUP(M63,'Características dos Cabos MX CH'!$C$15:$L$20,5),"")))))))</f>
        <v/>
      </c>
      <c r="S63" s="193" t="str">
        <f>IF(J63="Duplex",VLOOKUP(M63,'Características dos Cabos MX CH'!$C$12:$I$14,6),(IF(J63="Triplex",VLOOKUP(M63,'Características dos Cabos MX CH'!$C$15:$J$20,6),(IF(J63="Quadruplex",VLOOKUP(M63,'Características dos Cabos MX CH'!$C$21:$K$27,6),(IF(J63="13",VLOOKUP(M63,'Características dos Cabos MX CH'!$C$15:$L$20,6),"")))))))</f>
        <v/>
      </c>
      <c r="T63" s="194" t="str">
        <f t="shared" si="13"/>
        <v/>
      </c>
      <c r="U63" s="447" t="str">
        <f>IF(J63="Duplex",VLOOKUP(M63,'Características dos Cabos MX CH'!$C$12:$I$14,2),(IF(J63="Triplex",VLOOKUP(M63,'Características dos Cabos MX CH'!$C$15:$J$20,2),(IF(J63="Quadruplex",VLOOKUP(M63,'Características dos Cabos MX CH'!$C$21:$K$27,2),(IF(J63="13",VLOOKUP(M63,'Características dos Cabos MX CH'!$C$15:$L$20,2),"")))))))</f>
        <v/>
      </c>
      <c r="V63" s="193" t="str">
        <f>IF(J63="Duplex",VLOOKUP(M63,'Características dos Cabos MX CH'!$C$12:$I$14,3),(IF(J63="Triplex",VLOOKUP(M63,'Características dos Cabos MX CH'!$C$15:$J$20,3),(IF(J63="Quadruplex",VLOOKUP(M63,'Características dos Cabos MX CH'!$C$21:$K$27,3),(IF(J63="13",VLOOKUP(M63,'Características dos Cabos MX CH'!$C$15:$L$20,3),"")))))))</f>
        <v/>
      </c>
      <c r="W63" s="195" t="str">
        <f t="shared" si="17"/>
        <v/>
      </c>
      <c r="X63" s="195" t="str">
        <f t="shared" si="18"/>
        <v/>
      </c>
      <c r="Y63" s="196" t="str">
        <f t="shared" si="19"/>
        <v/>
      </c>
      <c r="AA63" s="488">
        <f t="shared" si="20"/>
        <v>0</v>
      </c>
      <c r="AB63" s="488">
        <f t="shared" si="3"/>
        <v>0</v>
      </c>
      <c r="AC63" s="485"/>
      <c r="AE63" s="492" t="str">
        <f t="shared" si="11"/>
        <v/>
      </c>
      <c r="AF63" s="475">
        <f t="shared" si="15"/>
        <v>0</v>
      </c>
      <c r="AH63" s="420"/>
      <c r="AO63" s="401"/>
      <c r="AP63" s="413">
        <v>140</v>
      </c>
      <c r="AQ63" s="413">
        <v>1.93</v>
      </c>
      <c r="AR63" s="403"/>
    </row>
    <row r="64" spans="1:44" ht="15" customHeight="1">
      <c r="A64" s="696"/>
      <c r="B64" s="698"/>
      <c r="C64" s="517"/>
      <c r="D64" s="520"/>
      <c r="E64" s="522"/>
      <c r="F64" s="521" t="str">
        <f t="shared" si="22"/>
        <v/>
      </c>
      <c r="G64" s="518"/>
      <c r="H64" s="190" t="str">
        <f>IF(AND(E64="",G64=""),"",SUM(F64:G65))</f>
        <v/>
      </c>
      <c r="I64" s="191"/>
      <c r="J64" s="514"/>
      <c r="K64" s="514"/>
      <c r="L64" s="197" t="str">
        <f>IF(J64="Duplex",VLOOKUP(M64,'Características dos Cabos M EX'!$C$12:$I$14,7),(IF(J64="Triplex",VLOOKUP(M64,'Características dos Cabos M EX'!$C$15:$J$20,8),(IF(J64="Quadruplex",VLOOKUP(M64,'Características dos Cabos M EX'!$C$21:$K$27,9),(IF(J64="13",VLOOKUP(M64,'Características dos Cabos M EX'!$C$15:$L$20,10),"")))))))</f>
        <v/>
      </c>
      <c r="M64" s="350" t="str">
        <f t="shared" si="5"/>
        <v/>
      </c>
      <c r="N64" s="519"/>
      <c r="O64" s="192" t="str">
        <f t="shared" si="16"/>
        <v/>
      </c>
      <c r="P64" s="192" t="str">
        <f>IF(O64="","",SUM($O$56:O64)+$Z$46)</f>
        <v/>
      </c>
      <c r="Q64" s="192" t="str">
        <f t="shared" si="6"/>
        <v/>
      </c>
      <c r="R64" s="193" t="str">
        <f>IF(J64="Duplex",VLOOKUP(M64,'Características dos Cabos MX CH'!$C$12:$I$14,5),(IF(J64="Triplex",VLOOKUP(M64,'Características dos Cabos MX CH'!$C$15:$J$20,5),(IF(J64="Quadruplex",VLOOKUP(M64,'Características dos Cabos MX CH'!$C$21:$K$27,5),(IF(J64="13",VLOOKUP(M64,'Características dos Cabos MX CH'!$C$15:$L$20,5),"")))))))</f>
        <v/>
      </c>
      <c r="S64" s="193" t="str">
        <f>IF(J64="Duplex",VLOOKUP(M64,'Características dos Cabos MX CH'!$C$12:$I$14,6),(IF(J64="Triplex",VLOOKUP(M64,'Características dos Cabos MX CH'!$C$15:$J$20,6),(IF(J64="Quadruplex",VLOOKUP(M64,'Características dos Cabos MX CH'!$C$21:$K$27,6),(IF(J64="13",VLOOKUP(M64,'Características dos Cabos MX CH'!$C$15:$L$20,6),"")))))))</f>
        <v/>
      </c>
      <c r="T64" s="194" t="str">
        <f t="shared" si="13"/>
        <v/>
      </c>
      <c r="U64" s="447" t="str">
        <f>IF(J64="Duplex",VLOOKUP(M64,'Características dos Cabos MX CH'!$C$12:$I$14,2),(IF(J64="Triplex",VLOOKUP(M64,'Características dos Cabos MX CH'!$C$15:$J$20,2),(IF(J64="Quadruplex",VLOOKUP(M64,'Características dos Cabos MX CH'!$C$21:$K$27,2),(IF(J64="13",VLOOKUP(M64,'Características dos Cabos MX CH'!$C$15:$L$20,2),"")))))))</f>
        <v/>
      </c>
      <c r="V64" s="193" t="str">
        <f>IF(J64="Duplex",VLOOKUP(M64,'Características dos Cabos MX CH'!$C$12:$I$14,3),(IF(J64="Triplex",VLOOKUP(M64,'Características dos Cabos MX CH'!$C$15:$J$20,3),(IF(J64="Quadruplex",VLOOKUP(M64,'Características dos Cabos MX CH'!$C$21:$K$27,3),(IF(J64="13",VLOOKUP(M64,'Características dos Cabos MX CH'!$C$15:$L$20,3),"")))))))</f>
        <v/>
      </c>
      <c r="W64" s="195" t="str">
        <f t="shared" si="17"/>
        <v/>
      </c>
      <c r="X64" s="195" t="str">
        <f t="shared" si="18"/>
        <v/>
      </c>
      <c r="Y64" s="196" t="str">
        <f t="shared" si="19"/>
        <v/>
      </c>
      <c r="AA64" s="488">
        <f t="shared" si="20"/>
        <v>0</v>
      </c>
      <c r="AB64" s="488">
        <f t="shared" si="3"/>
        <v>0</v>
      </c>
      <c r="AC64" s="485"/>
      <c r="AE64" s="492" t="str">
        <f t="shared" si="11"/>
        <v/>
      </c>
      <c r="AF64" s="475">
        <f t="shared" si="15"/>
        <v>0</v>
      </c>
      <c r="AH64" s="420"/>
      <c r="AO64" s="401"/>
      <c r="AP64" s="413">
        <v>150</v>
      </c>
      <c r="AQ64" s="413">
        <v>1.96</v>
      </c>
      <c r="AR64" s="403"/>
    </row>
    <row r="65" spans="1:44" ht="15" customHeight="1" thickBot="1">
      <c r="A65" s="696"/>
      <c r="B65" s="699"/>
      <c r="C65" s="523"/>
      <c r="D65" s="524"/>
      <c r="E65" s="523"/>
      <c r="F65" s="526" t="str">
        <f t="shared" si="22"/>
        <v/>
      </c>
      <c r="G65" s="527"/>
      <c r="H65" s="200" t="str">
        <f>IF(AND(E65="",G65=""),"",SUM(F65:G65))</f>
        <v/>
      </c>
      <c r="I65" s="201"/>
      <c r="J65" s="528"/>
      <c r="K65" s="528"/>
      <c r="L65" s="202" t="str">
        <f>IF(J65="Duplex",VLOOKUP(M65,'Características dos Cabos M EX'!$C$12:$I$14,7),(IF(J65="Triplex",VLOOKUP(M65,'Características dos Cabos M EX'!$C$15:$J$20,8),(IF(J65="Quadruplex",VLOOKUP(M65,'Características dos Cabos M EX'!$C$21:$K$27,9),(IF(J65="13",VLOOKUP(M65,'Características dos Cabos M EX'!$C$15:$L$20,10),"")))))))</f>
        <v/>
      </c>
      <c r="M65" s="353" t="str">
        <f t="shared" si="5"/>
        <v/>
      </c>
      <c r="N65" s="529"/>
      <c r="O65" s="203" t="str">
        <f t="shared" si="16"/>
        <v/>
      </c>
      <c r="P65" s="192" t="str">
        <f>IF(O65="","",SUM($O$56:O65)+$Z$46)</f>
        <v/>
      </c>
      <c r="Q65" s="203" t="str">
        <f t="shared" si="6"/>
        <v/>
      </c>
      <c r="R65" s="204" t="str">
        <f>IF(J65="Duplex",VLOOKUP(M65,'Características dos Cabos MX CH'!$C$12:$I$14,5),(IF(J65="Triplex",VLOOKUP(M65,'Características dos Cabos MX CH'!$C$15:$J$20,5),(IF(J65="Quadruplex",VLOOKUP(M65,'Características dos Cabos MX CH'!$C$21:$K$27,5),(IF(J65="13",VLOOKUP(M65,'Características dos Cabos MX CH'!$C$15:$L$20,5),"")))))))</f>
        <v/>
      </c>
      <c r="S65" s="204" t="str">
        <f>IF(J65="Duplex",VLOOKUP(M65,'Características dos Cabos MX CH'!$C$12:$I$14,6),(IF(J65="Triplex",VLOOKUP(M65,'Características dos Cabos MX CH'!$C$15:$J$20,6),(IF(J65="Quadruplex",VLOOKUP(M65,'Características dos Cabos MX CH'!$C$21:$K$27,6),(IF(J65="13",VLOOKUP(M65,'Características dos Cabos MX CH'!$C$15:$L$20,6),"")))))))</f>
        <v/>
      </c>
      <c r="T65" s="205" t="str">
        <f t="shared" si="13"/>
        <v/>
      </c>
      <c r="U65" s="448" t="str">
        <f>IF(J65="Duplex",VLOOKUP(M65,'Características dos Cabos MX CH'!$C$12:$I$14,2),(IF(J65="Triplex",VLOOKUP(M65,'Características dos Cabos MX CH'!$C$15:$J$20,2),(IF(J65="Quadruplex",VLOOKUP(M65,'Características dos Cabos MX CH'!$C$21:$K$27,2),(IF(J65="13",VLOOKUP(M65,'Características dos Cabos MX CH'!$C$15:$L$20,2),"")))))))</f>
        <v/>
      </c>
      <c r="V65" s="204" t="str">
        <f>IF(J65="Duplex",VLOOKUP(M65,'Características dos Cabos MX CH'!$C$12:$I$14,3),(IF(J65="Triplex",VLOOKUP(M65,'Características dos Cabos MX CH'!$C$15:$J$20,3),(IF(J65="Quadruplex",VLOOKUP(M65,'Características dos Cabos MX CH'!$C$21:$K$27,3),(IF(J65="13",VLOOKUP(M65,'Características dos Cabos MX CH'!$C$15:$L$20,3),"")))))))</f>
        <v/>
      </c>
      <c r="W65" s="206" t="str">
        <f t="shared" si="17"/>
        <v/>
      </c>
      <c r="X65" s="206" t="str">
        <f t="shared" si="18"/>
        <v/>
      </c>
      <c r="Y65" s="207" t="str">
        <f t="shared" si="19"/>
        <v/>
      </c>
      <c r="AA65" s="488">
        <f t="shared" si="20"/>
        <v>0</v>
      </c>
      <c r="AB65" s="488">
        <f t="shared" si="3"/>
        <v>0</v>
      </c>
      <c r="AC65" s="485"/>
      <c r="AE65" s="492" t="str">
        <f t="shared" si="11"/>
        <v/>
      </c>
      <c r="AF65" s="475">
        <f t="shared" si="15"/>
        <v>0</v>
      </c>
      <c r="AH65" s="420"/>
      <c r="AO65" s="401"/>
      <c r="AP65" s="413">
        <v>160</v>
      </c>
      <c r="AQ65" s="413">
        <v>2.02</v>
      </c>
      <c r="AR65" s="403"/>
    </row>
    <row r="66" spans="1:44" ht="15" customHeight="1" thickTop="1">
      <c r="A66" s="696"/>
      <c r="B66" s="700" t="str">
        <f>CONCATENATE("Ramal 3 - Derivando no ponto ",C66)</f>
        <v>Ramal 3 - Derivando no ponto 15</v>
      </c>
      <c r="C66" s="515" t="s">
        <v>245</v>
      </c>
      <c r="D66" s="536">
        <v>29</v>
      </c>
      <c r="E66" s="537">
        <v>3</v>
      </c>
      <c r="F66" s="538">
        <f t="shared" si="22"/>
        <v>6.6366641250000011</v>
      </c>
      <c r="G66" s="539">
        <v>0.017999999999999999</v>
      </c>
      <c r="H66" s="209">
        <f>IF(AND(E66="",G66=""),"",SUM(F66:G75))</f>
        <v>39.927984750000014</v>
      </c>
      <c r="I66" s="210"/>
      <c r="J66" s="535" t="s">
        <v>237</v>
      </c>
      <c r="K66" s="535">
        <v>35</v>
      </c>
      <c r="L66" s="211">
        <f>IF(J66="Duplex",VLOOKUP(M66,'Características dos Cabos M EX'!$C$12:$I$14,7),(IF(J66="Triplex",VLOOKUP(M66,'Características dos Cabos M EX'!$C$15:$J$20,8),(IF(J66="Quadruplex",VLOOKUP(M66,'Características dos Cabos M EX'!$C$21:$K$27,9),(IF(J66="13",VLOOKUP(M66,'Características dos Cabos M EX'!$C$15:$L$20,10),"")))))))</f>
        <v>7.8601108033241046E-05</v>
      </c>
      <c r="M66" s="354" t="str">
        <f t="shared" si="5"/>
        <v>d</v>
      </c>
      <c r="N66" s="540">
        <v>35</v>
      </c>
      <c r="O66" s="212">
        <f t="shared" si="16"/>
        <v>0.10984343450095234</v>
      </c>
      <c r="P66" s="217">
        <f>IF(O66="","",O66+VLOOKUP(C66,$D$21:$Q$65,13,FALSE))</f>
        <v>0.46043916024437359</v>
      </c>
      <c r="Q66" s="212">
        <f t="shared" si="6"/>
        <v>60.664296693715222</v>
      </c>
      <c r="R66" s="213">
        <f>IF(J66="Duplex",VLOOKUP(M66,'Características dos Cabos MX CH'!$C$12:$I$14,5),(IF(J66="Triplex",VLOOKUP(M66,'Características dos Cabos MX CH'!$C$15:$J$20,5),(IF(J66="Quadruplex",VLOOKUP(M66,'Características dos Cabos MX CH'!$C$21:$K$27,5),(IF(J66="13",VLOOKUP(M66,'Características dos Cabos MX CH'!$C$15:$L$20,5),"")))))))</f>
        <v>126</v>
      </c>
      <c r="S66" s="213">
        <f>IF(J66="Duplex",VLOOKUP(M66,'Características dos Cabos MX CH'!$C$12:$I$14,6),(IF(J66="Triplex",VLOOKUP(M66,'Características dos Cabos MX CH'!$C$15:$J$20,6),(IF(J66="Quadruplex",VLOOKUP(M66,'Características dos Cabos MX CH'!$C$21:$K$27,6),(IF(J66="13",VLOOKUP(M66,'Características dos Cabos MX CH'!$C$15:$L$20,6),"")))))))</f>
        <v>148</v>
      </c>
      <c r="T66" s="214">
        <f t="shared" si="13"/>
        <v>0.40989389657915692</v>
      </c>
      <c r="U66" s="450">
        <f>IF(J66="Duplex",VLOOKUP(M66,'Características dos Cabos MX CH'!$C$12:$I$14,2),(IF(J66="Triplex",VLOOKUP(M66,'Características dos Cabos MX CH'!$C$15:$J$20,2),(IF(J66="Quadruplex",VLOOKUP(M66,'Características dos Cabos MX CH'!$C$21:$K$27,2),(IF(J66="13",VLOOKUP(M66,'Características dos Cabos MX CH'!$C$15:$L$20,2),"")))))))</f>
        <v>1.1201000000000001</v>
      </c>
      <c r="V66" s="213">
        <f>IF(J66="Duplex",VLOOKUP(M66,'Características dos Cabos MX CH'!$C$12:$I$14,3),(IF(J66="Triplex",VLOOKUP(M66,'Características dos Cabos MX CH'!$C$15:$J$20,3),(IF(J66="Quadruplex",VLOOKUP(M66,'Características dos Cabos MX CH'!$C$21:$K$27,3),(IF(J66="13",VLOOKUP(M66,'Características dos Cabos MX CH'!$C$15:$L$20,3),"")))))))</f>
        <v>1.1201000000000001</v>
      </c>
      <c r="W66" s="215">
        <f t="shared" si="17"/>
        <v>11.909275359232513</v>
      </c>
      <c r="X66" s="215">
        <f t="shared" si="18"/>
        <v>11.909275359232513</v>
      </c>
      <c r="Y66" s="216">
        <f t="shared" si="19"/>
        <v>11.909275359232513</v>
      </c>
      <c r="Z66" s="463">
        <f>IF(O66="","",VLOOKUP(C66,$D$21:$P$65,13,FALSE))</f>
        <v>0.35059572574342124</v>
      </c>
      <c r="AA66" s="488">
        <f t="shared" si="20"/>
        <v>29</v>
      </c>
      <c r="AB66" s="488">
        <f t="shared" si="3"/>
        <v>35</v>
      </c>
      <c r="AC66" s="485"/>
      <c r="AE66" s="492">
        <f t="shared" si="11"/>
        <v>6.6366641250000011</v>
      </c>
      <c r="AF66" s="475">
        <f t="shared" si="15"/>
        <v>0.017999999999999999</v>
      </c>
      <c r="AH66" s="420"/>
      <c r="AO66" s="401"/>
      <c r="AP66" s="413">
        <v>170</v>
      </c>
      <c r="AQ66" s="413">
        <v>2.0699999999999998</v>
      </c>
      <c r="AR66" s="403"/>
    </row>
    <row r="67" spans="1:44" ht="15" customHeight="1">
      <c r="A67" s="696"/>
      <c r="B67" s="698"/>
      <c r="C67" s="515" t="s">
        <v>259</v>
      </c>
      <c r="D67" s="520">
        <v>30</v>
      </c>
      <c r="E67" s="522">
        <v>3</v>
      </c>
      <c r="F67" s="521">
        <f t="shared" si="22"/>
        <v>6.6366641250000011</v>
      </c>
      <c r="G67" s="539">
        <v>0.017999999999999999</v>
      </c>
      <c r="H67" s="190">
        <f>IF(AND(E67="",G67=""),"",SUM(F67:G75))</f>
        <v>33.273320625000011</v>
      </c>
      <c r="I67" s="191"/>
      <c r="J67" s="535" t="s">
        <v>237</v>
      </c>
      <c r="K67" s="535">
        <v>35</v>
      </c>
      <c r="L67" s="197">
        <f>IF(J67="Duplex",VLOOKUP(M67,'Características dos Cabos M EX'!$C$12:$I$14,7),(IF(J67="Triplex",VLOOKUP(M67,'Características dos Cabos M EX'!$C$15:$J$20,8),(IF(J67="Quadruplex",VLOOKUP(M67,'Características dos Cabos M EX'!$C$21:$K$27,9),(IF(J67="13",VLOOKUP(M67,'Características dos Cabos M EX'!$C$15:$L$20,10),"")))))))</f>
        <v>7.8601108033241046E-05</v>
      </c>
      <c r="M67" s="350" t="str">
        <f t="shared" si="5"/>
        <v>d</v>
      </c>
      <c r="N67" s="519">
        <v>35</v>
      </c>
      <c r="O67" s="192">
        <f t="shared" si="16"/>
        <v>0.091536195417460275</v>
      </c>
      <c r="P67" s="192">
        <f>IF(O67="","",SUM($O66:O$67)+$Z$66)</f>
        <v>0.55197535566183387</v>
      </c>
      <c r="Q67" s="192">
        <f t="shared" si="6"/>
        <v>50.55358057809601</v>
      </c>
      <c r="R67" s="193">
        <f>IF(J67="Duplex",VLOOKUP(M67,'Características dos Cabos MX CH'!$C$12:$I$14,5),(IF(J67="Triplex",VLOOKUP(M67,'Características dos Cabos MX CH'!$C$15:$J$20,5),(IF(J67="Quadruplex",VLOOKUP(M67,'Características dos Cabos MX CH'!$C$21:$K$27,5),(IF(J67="13",VLOOKUP(M67,'Características dos Cabos MX CH'!$C$15:$L$20,5),"")))))))</f>
        <v>126</v>
      </c>
      <c r="S67" s="193">
        <f>IF(J67="Duplex",VLOOKUP(M67,'Características dos Cabos MX CH'!$C$12:$I$14,6),(IF(J67="Triplex",VLOOKUP(M67,'Características dos Cabos MX CH'!$C$15:$J$20,6),(IF(J67="Quadruplex",VLOOKUP(M67,'Características dos Cabos MX CH'!$C$21:$K$27,6),(IF(J67="13",VLOOKUP(M67,'Características dos Cabos MX CH'!$C$15:$L$20,6),"")))))))</f>
        <v>148</v>
      </c>
      <c r="T67" s="194">
        <f t="shared" si="13"/>
        <v>0.34157824714929735</v>
      </c>
      <c r="U67" s="447">
        <f>IF(J67="Duplex",VLOOKUP(M67,'Características dos Cabos MX CH'!$C$12:$I$14,2),(IF(J67="Triplex",VLOOKUP(M67,'Características dos Cabos MX CH'!$C$15:$J$20,2),(IF(J67="Quadruplex",VLOOKUP(M67,'Características dos Cabos MX CH'!$C$21:$K$27,2),(IF(J67="13",VLOOKUP(M67,'Características dos Cabos MX CH'!$C$15:$L$20,2),"")))))))</f>
        <v>1.1201000000000001</v>
      </c>
      <c r="V67" s="193">
        <f>IF(J67="Duplex",VLOOKUP(M67,'Características dos Cabos MX CH'!$C$12:$I$14,3),(IF(J67="Triplex",VLOOKUP(M67,'Características dos Cabos MX CH'!$C$15:$J$20,3),(IF(J67="Quadruplex",VLOOKUP(M67,'Características dos Cabos MX CH'!$C$21:$K$27,3),(IF(J67="13",VLOOKUP(M67,'Características dos Cabos MX CH'!$C$15:$L$20,3),"")))))))</f>
        <v>1.1201000000000001</v>
      </c>
      <c r="W67" s="195">
        <f t="shared" si="17"/>
        <v>9.9243961326937615</v>
      </c>
      <c r="X67" s="195">
        <f t="shared" si="18"/>
        <v>9.9243961326937615</v>
      </c>
      <c r="Y67" s="196">
        <f t="shared" si="19"/>
        <v>9.9243961326937615</v>
      </c>
      <c r="AA67" s="488">
        <f t="shared" si="20"/>
        <v>30</v>
      </c>
      <c r="AB67" s="488">
        <f t="shared" si="3"/>
        <v>35</v>
      </c>
      <c r="AC67" s="485"/>
      <c r="AE67" s="492">
        <f t="shared" si="11"/>
        <v>6.6366641250000011</v>
      </c>
      <c r="AF67" s="475">
        <f t="shared" si="15"/>
        <v>0.017999999999999999</v>
      </c>
      <c r="AH67" s="420"/>
      <c r="AO67" s="401"/>
      <c r="AP67" s="413">
        <v>180</v>
      </c>
      <c r="AQ67" s="413">
        <v>2.13</v>
      </c>
      <c r="AR67" s="403"/>
    </row>
    <row r="68" spans="1:44" ht="15" customHeight="1">
      <c r="A68" s="696"/>
      <c r="B68" s="698"/>
      <c r="C68" s="515" t="s">
        <v>260</v>
      </c>
      <c r="D68" s="520">
        <v>31</v>
      </c>
      <c r="E68" s="522">
        <v>3</v>
      </c>
      <c r="F68" s="521">
        <f t="shared" si="22"/>
        <v>6.6366641250000011</v>
      </c>
      <c r="G68" s="539">
        <v>0.017999999999999999</v>
      </c>
      <c r="H68" s="190">
        <f>IF(AND(E68="",G68=""),"",SUM(F68:G75))</f>
        <v>26.618656500000007</v>
      </c>
      <c r="I68" s="191"/>
      <c r="J68" s="535" t="s">
        <v>237</v>
      </c>
      <c r="K68" s="535">
        <v>35</v>
      </c>
      <c r="L68" s="197">
        <f>IF(J68="Duplex",VLOOKUP(M68,'Características dos Cabos M EX'!$C$12:$I$14,7),(IF(J68="Triplex",VLOOKUP(M68,'Características dos Cabos M EX'!$C$15:$J$20,8),(IF(J68="Quadruplex",VLOOKUP(M68,'Características dos Cabos M EX'!$C$21:$K$27,9),(IF(J68="13",VLOOKUP(M68,'Características dos Cabos M EX'!$C$15:$L$20,10),"")))))))</f>
        <v>7.8601108033241046E-05</v>
      </c>
      <c r="M68" s="350" t="str">
        <f t="shared" si="5"/>
        <v>d</v>
      </c>
      <c r="N68" s="519">
        <v>35</v>
      </c>
      <c r="O68" s="192">
        <f t="shared" si="16"/>
        <v>0.073228956333968212</v>
      </c>
      <c r="P68" s="192">
        <f>IF(O68="","",SUM($O66:O$68)+$Z$66)</f>
        <v>0.62520431199580206</v>
      </c>
      <c r="Q68" s="192">
        <f t="shared" si="6"/>
        <v>40.442864462476813</v>
      </c>
      <c r="R68" s="193">
        <f>IF(J68="Duplex",VLOOKUP(M68,'Características dos Cabos MX CH'!$C$12:$I$14,5),(IF(J68="Triplex",VLOOKUP(M68,'Características dos Cabos MX CH'!$C$15:$J$20,5),(IF(J68="Quadruplex",VLOOKUP(M68,'Características dos Cabos MX CH'!$C$21:$K$27,5),(IF(J68="13",VLOOKUP(M68,'Características dos Cabos MX CH'!$C$15:$L$20,5),"")))))))</f>
        <v>126</v>
      </c>
      <c r="S68" s="193">
        <f>IF(J68="Duplex",VLOOKUP(M68,'Características dos Cabos MX CH'!$C$12:$I$14,6),(IF(J68="Triplex",VLOOKUP(M68,'Características dos Cabos MX CH'!$C$15:$J$20,6),(IF(J68="Quadruplex",VLOOKUP(M68,'Características dos Cabos MX CH'!$C$21:$K$27,6),(IF(J68="13",VLOOKUP(M68,'Características dos Cabos MX CH'!$C$15:$L$20,6),"")))))))</f>
        <v>148</v>
      </c>
      <c r="T68" s="194">
        <f t="shared" si="13"/>
        <v>0.27326259771943795</v>
      </c>
      <c r="U68" s="447">
        <f>IF(J68="Duplex",VLOOKUP(M68,'Características dos Cabos MX CH'!$C$12:$I$14,2),(IF(J68="Triplex",VLOOKUP(M68,'Características dos Cabos MX CH'!$C$15:$J$20,2),(IF(J68="Quadruplex",VLOOKUP(M68,'Características dos Cabos MX CH'!$C$21:$K$27,2),(IF(J68="13",VLOOKUP(M68,'Características dos Cabos MX CH'!$C$15:$L$20,2),"")))))))</f>
        <v>1.1201000000000001</v>
      </c>
      <c r="V68" s="193">
        <f>IF(J68="Duplex",VLOOKUP(M68,'Características dos Cabos MX CH'!$C$12:$I$14,3),(IF(J68="Triplex",VLOOKUP(M68,'Características dos Cabos MX CH'!$C$15:$J$20,3),(IF(J68="Quadruplex",VLOOKUP(M68,'Características dos Cabos MX CH'!$C$21:$K$27,3),(IF(J68="13",VLOOKUP(M68,'Características dos Cabos MX CH'!$C$15:$L$20,3),"")))))))</f>
        <v>1.1201000000000001</v>
      </c>
      <c r="W68" s="195">
        <f t="shared" si="17"/>
        <v>7.9395169061550073</v>
      </c>
      <c r="X68" s="195">
        <f t="shared" si="18"/>
        <v>7.9395169061550073</v>
      </c>
      <c r="Y68" s="196">
        <f t="shared" si="19"/>
        <v>7.9395169061550073</v>
      </c>
      <c r="AA68" s="488">
        <f t="shared" si="20"/>
        <v>31</v>
      </c>
      <c r="AB68" s="488">
        <f t="shared" si="3"/>
        <v>35</v>
      </c>
      <c r="AC68" s="485"/>
      <c r="AE68" s="492">
        <f t="shared" si="11"/>
        <v>6.6366641250000011</v>
      </c>
      <c r="AF68" s="475">
        <f t="shared" si="15"/>
        <v>0.017999999999999999</v>
      </c>
      <c r="AH68" s="420"/>
      <c r="AO68" s="401"/>
      <c r="AP68" s="413">
        <v>190</v>
      </c>
      <c r="AQ68" s="413">
        <v>2.1800000000000002</v>
      </c>
      <c r="AR68" s="403"/>
    </row>
    <row r="69" spans="1:44" ht="15" customHeight="1">
      <c r="A69" s="696"/>
      <c r="B69" s="698"/>
      <c r="C69" s="515" t="s">
        <v>261</v>
      </c>
      <c r="D69" s="520">
        <v>32</v>
      </c>
      <c r="E69" s="522">
        <v>3</v>
      </c>
      <c r="F69" s="521">
        <f t="shared" si="22"/>
        <v>6.6366641250000011</v>
      </c>
      <c r="G69" s="539">
        <v>0.017999999999999999</v>
      </c>
      <c r="H69" s="190">
        <f>IF(AND(E69="",G69=""),"",SUM(F69:G75))</f>
        <v>19.963992375000004</v>
      </c>
      <c r="I69" s="191"/>
      <c r="J69" s="535" t="s">
        <v>237</v>
      </c>
      <c r="K69" s="535">
        <v>35</v>
      </c>
      <c r="L69" s="197">
        <f>IF(J69="Duplex",VLOOKUP(M69,'Características dos Cabos M EX'!$C$12:$I$14,7),(IF(J69="Triplex",VLOOKUP(M69,'Características dos Cabos M EX'!$C$15:$J$20,8),(IF(J69="Quadruplex",VLOOKUP(M69,'Características dos Cabos M EX'!$C$21:$K$27,9),(IF(J69="13",VLOOKUP(M69,'Características dos Cabos M EX'!$C$15:$L$20,10),"")))))))</f>
        <v>7.8601108033241046E-05</v>
      </c>
      <c r="M69" s="350" t="str">
        <f t="shared" si="5"/>
        <v>d</v>
      </c>
      <c r="N69" s="519">
        <v>35</v>
      </c>
      <c r="O69" s="192">
        <f t="shared" si="16"/>
        <v>0.054921717250476156</v>
      </c>
      <c r="P69" s="192">
        <f>IF(O69="","",SUM($O$66:O69)+$Z$66)</f>
        <v>0.6801260292462783</v>
      </c>
      <c r="Q69" s="192">
        <f t="shared" si="6"/>
        <v>30.332148346857608</v>
      </c>
      <c r="R69" s="193">
        <f>IF(J69="Duplex",VLOOKUP(M69,'Características dos Cabos MX CH'!$C$12:$I$14,5),(IF(J69="Triplex",VLOOKUP(M69,'Características dos Cabos MX CH'!$C$15:$J$20,5),(IF(J69="Quadruplex",VLOOKUP(M69,'Características dos Cabos MX CH'!$C$21:$K$27,5),(IF(J69="13",VLOOKUP(M69,'Características dos Cabos MX CH'!$C$15:$L$20,5),"")))))))</f>
        <v>126</v>
      </c>
      <c r="S69" s="193">
        <f>IF(J69="Duplex",VLOOKUP(M69,'Características dos Cabos MX CH'!$C$12:$I$14,6),(IF(J69="Triplex",VLOOKUP(M69,'Características dos Cabos MX CH'!$C$15:$J$20,6),(IF(J69="Quadruplex",VLOOKUP(M69,'Características dos Cabos MX CH'!$C$21:$K$27,6),(IF(J69="13",VLOOKUP(M69,'Características dos Cabos MX CH'!$C$15:$L$20,6),"")))))))</f>
        <v>148</v>
      </c>
      <c r="T69" s="194">
        <f t="shared" si="13"/>
        <v>0.20494694828957843</v>
      </c>
      <c r="U69" s="447">
        <f>IF(J69="Duplex",VLOOKUP(M69,'Características dos Cabos MX CH'!$C$12:$I$14,2),(IF(J69="Triplex",VLOOKUP(M69,'Características dos Cabos MX CH'!$C$15:$J$20,2),(IF(J69="Quadruplex",VLOOKUP(M69,'Características dos Cabos MX CH'!$C$21:$K$27,2),(IF(J69="13",VLOOKUP(M69,'Características dos Cabos MX CH'!$C$15:$L$20,2),"")))))))</f>
        <v>1.1201000000000001</v>
      </c>
      <c r="V69" s="193">
        <f>IF(J69="Duplex",VLOOKUP(M69,'Características dos Cabos MX CH'!$C$12:$I$14,3),(IF(J69="Triplex",VLOOKUP(M69,'Características dos Cabos MX CH'!$C$15:$J$20,3),(IF(J69="Quadruplex",VLOOKUP(M69,'Características dos Cabos MX CH'!$C$21:$K$27,3),(IF(J69="13",VLOOKUP(M69,'Características dos Cabos MX CH'!$C$15:$L$20,3),"")))))))</f>
        <v>1.1201000000000001</v>
      </c>
      <c r="W69" s="195">
        <f t="shared" si="17"/>
        <v>5.9546376796162548</v>
      </c>
      <c r="X69" s="195">
        <f t="shared" si="18"/>
        <v>5.9546376796162548</v>
      </c>
      <c r="Y69" s="196">
        <f t="shared" si="19"/>
        <v>5.9546376796162548</v>
      </c>
      <c r="AA69" s="488">
        <f t="shared" si="20"/>
        <v>32</v>
      </c>
      <c r="AB69" s="488">
        <f t="shared" si="3"/>
        <v>35</v>
      </c>
      <c r="AC69" s="485"/>
      <c r="AE69" s="492">
        <f t="shared" si="11"/>
        <v>6.6366641250000011</v>
      </c>
      <c r="AF69" s="475">
        <f t="shared" si="15"/>
        <v>0.017999999999999999</v>
      </c>
      <c r="AH69" s="420"/>
      <c r="AO69" s="401"/>
      <c r="AP69" s="413">
        <v>200</v>
      </c>
      <c r="AQ69" s="413">
        <v>2.2400000000000002</v>
      </c>
      <c r="AR69" s="403"/>
    </row>
    <row r="70" spans="1:44" ht="15" customHeight="1">
      <c r="A70" s="696"/>
      <c r="B70" s="698"/>
      <c r="C70" s="515" t="s">
        <v>262</v>
      </c>
      <c r="D70" s="520">
        <v>33</v>
      </c>
      <c r="E70" s="522">
        <v>3</v>
      </c>
      <c r="F70" s="521">
        <f t="shared" si="22"/>
        <v>6.6366641250000011</v>
      </c>
      <c r="G70" s="539">
        <v>0.017999999999999999</v>
      </c>
      <c r="H70" s="190">
        <f>IF(AND(E70="",G70=""),"",SUM(F70:G75))</f>
        <v>13.309328250000004</v>
      </c>
      <c r="I70" s="191"/>
      <c r="J70" s="535" t="s">
        <v>237</v>
      </c>
      <c r="K70" s="535">
        <v>35</v>
      </c>
      <c r="L70" s="197">
        <f>IF(J70="Duplex",VLOOKUP(M70,'Características dos Cabos M EX'!$C$12:$I$14,7),(IF(J70="Triplex",VLOOKUP(M70,'Características dos Cabos M EX'!$C$15:$J$20,8),(IF(J70="Quadruplex",VLOOKUP(M70,'Características dos Cabos M EX'!$C$21:$K$27,9),(IF(J70="13",VLOOKUP(M70,'Características dos Cabos M EX'!$C$15:$L$20,10),"")))))))</f>
        <v>7.8601108033241046E-05</v>
      </c>
      <c r="M70" s="350" t="str">
        <f t="shared" si="5"/>
        <v>d</v>
      </c>
      <c r="N70" s="519">
        <v>35</v>
      </c>
      <c r="O70" s="192">
        <f t="shared" si="16"/>
        <v>0.036614478166984106</v>
      </c>
      <c r="P70" s="192">
        <f>IF(O70="","",SUM($O66:O$70)+$Z$46)</f>
        <v>0.71674050741326234</v>
      </c>
      <c r="Q70" s="192">
        <f t="shared" si="6"/>
        <v>20.221432231238406</v>
      </c>
      <c r="R70" s="193">
        <f>IF(J70="Duplex",VLOOKUP(M70,'Características dos Cabos MX CH'!$C$12:$I$14,5),(IF(J70="Triplex",VLOOKUP(M70,'Características dos Cabos MX CH'!$C$15:$J$20,5),(IF(J70="Quadruplex",VLOOKUP(M70,'Características dos Cabos MX CH'!$C$21:$K$27,5),(IF(J70="13",VLOOKUP(M70,'Características dos Cabos MX CH'!$C$15:$L$20,5),"")))))))</f>
        <v>126</v>
      </c>
      <c r="S70" s="193">
        <f>IF(J70="Duplex",VLOOKUP(M70,'Características dos Cabos MX CH'!$C$12:$I$14,6),(IF(J70="Triplex",VLOOKUP(M70,'Características dos Cabos MX CH'!$C$15:$J$20,6),(IF(J70="Quadruplex",VLOOKUP(M70,'Características dos Cabos MX CH'!$C$21:$K$27,6),(IF(J70="13",VLOOKUP(M70,'Características dos Cabos MX CH'!$C$15:$L$20,6),"")))))))</f>
        <v>148</v>
      </c>
      <c r="T70" s="194">
        <f t="shared" si="13"/>
        <v>0.13663129885971897</v>
      </c>
      <c r="U70" s="447">
        <f>IF(J70="Duplex",VLOOKUP(M70,'Características dos Cabos MX CH'!$C$12:$I$14,2),(IF(J70="Triplex",VLOOKUP(M70,'Características dos Cabos MX CH'!$C$15:$J$20,2),(IF(J70="Quadruplex",VLOOKUP(M70,'Características dos Cabos MX CH'!$C$21:$K$27,2),(IF(J70="13",VLOOKUP(M70,'Características dos Cabos MX CH'!$C$15:$L$20,2),"")))))))</f>
        <v>1.1201000000000001</v>
      </c>
      <c r="V70" s="193">
        <f>IF(J70="Duplex",VLOOKUP(M70,'Características dos Cabos MX CH'!$C$12:$I$14,3),(IF(J70="Triplex",VLOOKUP(M70,'Características dos Cabos MX CH'!$C$15:$J$20,3),(IF(J70="Quadruplex",VLOOKUP(M70,'Características dos Cabos MX CH'!$C$21:$K$27,3),(IF(J70="13",VLOOKUP(M70,'Características dos Cabos MX CH'!$C$15:$L$20,3),"")))))))</f>
        <v>1.1201000000000001</v>
      </c>
      <c r="W70" s="195">
        <f t="shared" si="17"/>
        <v>3.9697584530775036</v>
      </c>
      <c r="X70" s="195">
        <f t="shared" si="18"/>
        <v>3.9697584530775036</v>
      </c>
      <c r="Y70" s="196">
        <f t="shared" si="19"/>
        <v>3.9697584530775036</v>
      </c>
      <c r="AA70" s="488">
        <f t="shared" si="20"/>
        <v>33</v>
      </c>
      <c r="AB70" s="488">
        <f t="shared" si="3"/>
        <v>35</v>
      </c>
      <c r="AC70" s="485"/>
      <c r="AE70" s="492">
        <f t="shared" si="11"/>
        <v>6.6366641250000011</v>
      </c>
      <c r="AF70" s="475">
        <f t="shared" si="15"/>
        <v>0.017999999999999999</v>
      </c>
      <c r="AH70" s="420"/>
      <c r="AO70" s="401"/>
      <c r="AP70" s="413">
        <v>210</v>
      </c>
      <c r="AQ70" s="413">
        <v>2.29</v>
      </c>
      <c r="AR70" s="403"/>
    </row>
    <row r="71" spans="1:44" ht="15" customHeight="1">
      <c r="A71" s="696"/>
      <c r="B71" s="698"/>
      <c r="C71" s="515" t="s">
        <v>263</v>
      </c>
      <c r="D71" s="520">
        <v>34</v>
      </c>
      <c r="E71" s="522">
        <v>3</v>
      </c>
      <c r="F71" s="521">
        <f t="shared" si="22"/>
        <v>6.6366641250000011</v>
      </c>
      <c r="G71" s="539">
        <v>0.017999999999999999</v>
      </c>
      <c r="H71" s="190">
        <f>IF(AND(E71="",G71=""),"",SUM(F71:G75))</f>
        <v>6.6546641250000009</v>
      </c>
      <c r="I71" s="191"/>
      <c r="J71" s="535" t="s">
        <v>237</v>
      </c>
      <c r="K71" s="535">
        <v>35</v>
      </c>
      <c r="L71" s="197">
        <f>IF(J71="Duplex",VLOOKUP(M71,'Características dos Cabos M EX'!$C$12:$I$14,7),(IF(J71="Triplex",VLOOKUP(M71,'Características dos Cabos M EX'!$C$15:$J$20,8),(IF(J71="Quadruplex",VLOOKUP(M71,'Características dos Cabos M EX'!$C$21:$K$27,9),(IF(J71="13",VLOOKUP(M71,'Características dos Cabos M EX'!$C$15:$L$20,10),"")))))))</f>
        <v>7.8601108033241046E-05</v>
      </c>
      <c r="M71" s="350" t="str">
        <f t="shared" si="5"/>
        <v>d</v>
      </c>
      <c r="N71" s="519">
        <v>35</v>
      </c>
      <c r="O71" s="192">
        <f t="shared" si="16"/>
        <v>0.01830723908349205</v>
      </c>
      <c r="P71" s="192">
        <f>IF(O71="","",SUM($O$66:O71)+$Z$46)</f>
        <v>0.73504774649675442</v>
      </c>
      <c r="Q71" s="192">
        <f t="shared" si="6"/>
        <v>10.110716115619201</v>
      </c>
      <c r="R71" s="193">
        <f>IF(J71="Duplex",VLOOKUP(M71,'Características dos Cabos MX CH'!$C$12:$I$14,5),(IF(J71="Triplex",VLOOKUP(M71,'Características dos Cabos MX CH'!$C$15:$J$20,5),(IF(J71="Quadruplex",VLOOKUP(M71,'Características dos Cabos MX CH'!$C$21:$K$27,5),(IF(J71="13",VLOOKUP(M71,'Características dos Cabos MX CH'!$C$15:$L$20,5),"")))))))</f>
        <v>126</v>
      </c>
      <c r="S71" s="193">
        <f>IF(J71="Duplex",VLOOKUP(M71,'Características dos Cabos MX CH'!$C$12:$I$14,6),(IF(J71="Triplex",VLOOKUP(M71,'Características dos Cabos MX CH'!$C$15:$J$20,6),(IF(J71="Quadruplex",VLOOKUP(M71,'Características dos Cabos MX CH'!$C$21:$K$27,6),(IF(J71="13",VLOOKUP(M71,'Características dos Cabos MX CH'!$C$15:$L$20,6),"")))))))</f>
        <v>148</v>
      </c>
      <c r="T71" s="194">
        <f t="shared" si="13"/>
        <v>0.068315649429859474</v>
      </c>
      <c r="U71" s="447">
        <f>IF(J71="Duplex",VLOOKUP(M71,'Características dos Cabos MX CH'!$C$12:$I$14,2),(IF(J71="Triplex",VLOOKUP(M71,'Características dos Cabos MX CH'!$C$15:$J$20,2),(IF(J71="Quadruplex",VLOOKUP(M71,'Características dos Cabos MX CH'!$C$21:$K$27,2),(IF(J71="13",VLOOKUP(M71,'Características dos Cabos MX CH'!$C$15:$L$20,2),"")))))))</f>
        <v>1.1201000000000001</v>
      </c>
      <c r="V71" s="193">
        <f>IF(J71="Duplex",VLOOKUP(M71,'Características dos Cabos MX CH'!$C$12:$I$14,3),(IF(J71="Triplex",VLOOKUP(M71,'Características dos Cabos MX CH'!$C$15:$J$20,3),(IF(J71="Quadruplex",VLOOKUP(M71,'Características dos Cabos MX CH'!$C$21:$K$27,3),(IF(J71="13",VLOOKUP(M71,'Características dos Cabos MX CH'!$C$15:$L$20,3),"")))))))</f>
        <v>1.1201000000000001</v>
      </c>
      <c r="W71" s="195">
        <f t="shared" si="17"/>
        <v>1.9848792265387516</v>
      </c>
      <c r="X71" s="195">
        <f t="shared" si="18"/>
        <v>1.9848792265387516</v>
      </c>
      <c r="Y71" s="196">
        <f t="shared" si="19"/>
        <v>1.9848792265387516</v>
      </c>
      <c r="AA71" s="488">
        <f t="shared" si="20"/>
        <v>34</v>
      </c>
      <c r="AB71" s="488">
        <f t="shared" si="3"/>
        <v>35</v>
      </c>
      <c r="AC71" s="485"/>
      <c r="AE71" s="492">
        <f t="shared" si="11"/>
        <v>6.6366641250000011</v>
      </c>
      <c r="AF71" s="475">
        <f t="shared" si="15"/>
        <v>0.017999999999999999</v>
      </c>
      <c r="AH71" s="420"/>
      <c r="AO71" s="401"/>
      <c r="AP71" s="413">
        <v>220</v>
      </c>
      <c r="AQ71" s="413">
        <v>2.34</v>
      </c>
      <c r="AR71" s="403"/>
    </row>
    <row r="72" spans="1:44" ht="15" customHeight="1">
      <c r="A72" s="696"/>
      <c r="B72" s="698"/>
      <c r="C72" s="515"/>
      <c r="D72" s="520"/>
      <c r="E72" s="522"/>
      <c r="F72" s="521" t="str">
        <f t="shared" si="22"/>
        <v/>
      </c>
      <c r="G72" s="518"/>
      <c r="H72" s="190" t="str">
        <f>IF(AND(E72="",G72=""),"",SUM(F72:G75))</f>
        <v/>
      </c>
      <c r="I72" s="191"/>
      <c r="J72" s="514"/>
      <c r="K72" s="514"/>
      <c r="L72" s="197" t="str">
        <f>IF(J72="Duplex",VLOOKUP(M72,'Características dos Cabos M EX'!$C$12:$I$14,7),(IF(J72="Triplex",VLOOKUP(M72,'Características dos Cabos M EX'!$C$15:$J$20,8),(IF(J72="Quadruplex",VLOOKUP(M72,'Características dos Cabos M EX'!$C$21:$K$27,9),(IF(J72="13",VLOOKUP(M72,'Características dos Cabos M EX'!$C$15:$L$20,10),"")))))))</f>
        <v/>
      </c>
      <c r="M72" s="350" t="str">
        <f t="shared" si="5"/>
        <v/>
      </c>
      <c r="N72" s="519"/>
      <c r="O72" s="192" t="str">
        <f t="shared" si="16"/>
        <v/>
      </c>
      <c r="P72" s="192" t="str">
        <f>IF(O72="","",SUM($O66:O$72)+$Z$46)</f>
        <v/>
      </c>
      <c r="Q72" s="192" t="str">
        <f t="shared" si="6"/>
        <v/>
      </c>
      <c r="R72" s="193" t="str">
        <f>IF(J72="Duplex",VLOOKUP(M72,'Características dos Cabos MX CH'!$C$12:$I$14,5),(IF(J72="Triplex",VLOOKUP(M72,'Características dos Cabos MX CH'!$C$15:$J$20,5),(IF(J72="Quadruplex",VLOOKUP(M72,'Características dos Cabos MX CH'!$C$21:$K$27,5),(IF(J72="13",VLOOKUP(M72,'Características dos Cabos MX CH'!$C$15:$L$20,5),"")))))))</f>
        <v/>
      </c>
      <c r="S72" s="193" t="str">
        <f>IF(J72="Duplex",VLOOKUP(M72,'Características dos Cabos MX CH'!$C$12:$I$14,6),(IF(J72="Triplex",VLOOKUP(M72,'Características dos Cabos MX CH'!$C$15:$J$20,6),(IF(J72="Quadruplex",VLOOKUP(M72,'Características dos Cabos MX CH'!$C$21:$K$27,6),(IF(J72="13",VLOOKUP(M72,'Características dos Cabos MX CH'!$C$15:$L$20,6),"")))))))</f>
        <v/>
      </c>
      <c r="T72" s="194" t="str">
        <f t="shared" si="13"/>
        <v/>
      </c>
      <c r="U72" s="447" t="str">
        <f>IF(J72="Duplex",VLOOKUP(M72,'Características dos Cabos MX CH'!$C$12:$I$14,2),(IF(J72="Triplex",VLOOKUP(M72,'Características dos Cabos MX CH'!$C$15:$J$20,2),(IF(J72="Quadruplex",VLOOKUP(M72,'Características dos Cabos MX CH'!$C$21:$K$27,2),(IF(J72="13",VLOOKUP(M72,'Características dos Cabos MX CH'!$C$15:$L$20,2),"")))))))</f>
        <v/>
      </c>
      <c r="V72" s="193" t="str">
        <f>IF(J72="Duplex",VLOOKUP(M72,'Características dos Cabos MX CH'!$C$12:$I$14,3),(IF(J72="Triplex",VLOOKUP(M72,'Características dos Cabos MX CH'!$C$15:$J$20,3),(IF(J72="Quadruplex",VLOOKUP(M72,'Características dos Cabos MX CH'!$C$21:$K$27,3),(IF(J72="13",VLOOKUP(M72,'Características dos Cabos MX CH'!$C$15:$L$20,3),"")))))))</f>
        <v/>
      </c>
      <c r="W72" s="195" t="str">
        <f t="shared" si="17"/>
        <v/>
      </c>
      <c r="X72" s="195" t="str">
        <f t="shared" si="18"/>
        <v/>
      </c>
      <c r="Y72" s="196" t="str">
        <f t="shared" si="19"/>
        <v/>
      </c>
      <c r="AA72" s="488">
        <f t="shared" si="20"/>
        <v>0</v>
      </c>
      <c r="AB72" s="488">
        <f t="shared" si="3"/>
        <v>0</v>
      </c>
      <c r="AC72" s="485"/>
      <c r="AE72" s="492" t="str">
        <f t="shared" si="11"/>
        <v/>
      </c>
      <c r="AF72" s="475">
        <f t="shared" si="15"/>
        <v>0</v>
      </c>
      <c r="AH72" s="420"/>
      <c r="AO72" s="401"/>
      <c r="AP72" s="413">
        <v>230</v>
      </c>
      <c r="AQ72" s="413">
        <v>2.40</v>
      </c>
      <c r="AR72" s="403"/>
    </row>
    <row r="73" spans="1:44" ht="15" customHeight="1">
      <c r="A73" s="696"/>
      <c r="B73" s="698"/>
      <c r="C73" s="515"/>
      <c r="D73" s="520"/>
      <c r="E73" s="522"/>
      <c r="F73" s="521" t="str">
        <f t="shared" si="22"/>
        <v/>
      </c>
      <c r="G73" s="518"/>
      <c r="H73" s="190" t="str">
        <f>IF(AND(E73="",G73=""),"",SUM(F73:G75))</f>
        <v/>
      </c>
      <c r="I73" s="191"/>
      <c r="J73" s="514"/>
      <c r="K73" s="514"/>
      <c r="L73" s="197" t="str">
        <f>IF(J73="Duplex",VLOOKUP(M73,'Características dos Cabos M EX'!$C$12:$I$14,7),(IF(J73="Triplex",VLOOKUP(M73,'Características dos Cabos M EX'!$C$15:$J$20,8),(IF(J73="Quadruplex",VLOOKUP(M73,'Características dos Cabos M EX'!$C$21:$K$27,9),(IF(J73="13",VLOOKUP(M73,'Características dos Cabos M EX'!$C$15:$L$20,10),"")))))))</f>
        <v/>
      </c>
      <c r="M73" s="350" t="str">
        <f t="shared" si="5"/>
        <v/>
      </c>
      <c r="N73" s="519"/>
      <c r="O73" s="192" t="str">
        <f t="shared" si="16"/>
        <v/>
      </c>
      <c r="P73" s="192" t="str">
        <f>IF(O73="","",SUM($O$66:O73)+$Z$46)</f>
        <v/>
      </c>
      <c r="Q73" s="192" t="str">
        <f t="shared" si="6"/>
        <v/>
      </c>
      <c r="R73" s="193" t="str">
        <f>IF(J73="Duplex",VLOOKUP(M73,'Características dos Cabos MX CH'!$C$12:$I$14,5),(IF(J73="Triplex",VLOOKUP(M73,'Características dos Cabos MX CH'!$C$15:$J$20,5),(IF(J73="Quadruplex",VLOOKUP(M73,'Características dos Cabos MX CH'!$C$21:$K$27,5),(IF(J73="13",VLOOKUP(M73,'Características dos Cabos MX CH'!$C$15:$L$20,5),"")))))))</f>
        <v/>
      </c>
      <c r="S73" s="193" t="str">
        <f>IF(J73="Duplex",VLOOKUP(M73,'Características dos Cabos MX CH'!$C$12:$I$14,6),(IF(J73="Triplex",VLOOKUP(M73,'Características dos Cabos MX CH'!$C$15:$J$20,6),(IF(J73="Quadruplex",VLOOKUP(M73,'Características dos Cabos MX CH'!$C$21:$K$27,6),(IF(J73="13",VLOOKUP(M73,'Características dos Cabos MX CH'!$C$15:$L$20,6),"")))))))</f>
        <v/>
      </c>
      <c r="T73" s="194" t="str">
        <f t="shared" si="13"/>
        <v/>
      </c>
      <c r="U73" s="447" t="str">
        <f>IF(J73="Duplex",VLOOKUP(M73,'Características dos Cabos MX CH'!$C$12:$I$14,2),(IF(J73="Triplex",VLOOKUP(M73,'Características dos Cabos MX CH'!$C$15:$J$20,2),(IF(J73="Quadruplex",VLOOKUP(M73,'Características dos Cabos MX CH'!$C$21:$K$27,2),(IF(J73="13",VLOOKUP(M73,'Características dos Cabos MX CH'!$C$15:$L$20,2),"")))))))</f>
        <v/>
      </c>
      <c r="V73" s="193" t="str">
        <f>IF(J73="Duplex",VLOOKUP(M73,'Características dos Cabos MX CH'!$C$12:$I$14,3),(IF(J73="Triplex",VLOOKUP(M73,'Características dos Cabos MX CH'!$C$15:$J$20,3),(IF(J73="Quadruplex",VLOOKUP(M73,'Características dos Cabos MX CH'!$C$21:$K$27,3),(IF(J73="13",VLOOKUP(M73,'Características dos Cabos MX CH'!$C$15:$L$20,3),"")))))))</f>
        <v/>
      </c>
      <c r="W73" s="195" t="str">
        <f t="shared" si="17"/>
        <v/>
      </c>
      <c r="X73" s="195" t="str">
        <f t="shared" si="18"/>
        <v/>
      </c>
      <c r="Y73" s="196" t="str">
        <f t="shared" si="19"/>
        <v/>
      </c>
      <c r="AA73" s="488">
        <f t="shared" si="20"/>
        <v>0</v>
      </c>
      <c r="AB73" s="488">
        <f t="shared" si="3"/>
        <v>0</v>
      </c>
      <c r="AC73" s="485"/>
      <c r="AE73" s="492" t="str">
        <f t="shared" si="11"/>
        <v/>
      </c>
      <c r="AF73" s="475">
        <f t="shared" si="15"/>
        <v>0</v>
      </c>
      <c r="AH73" s="420"/>
      <c r="AO73" s="401"/>
      <c r="AP73" s="413">
        <v>240</v>
      </c>
      <c r="AQ73" s="413">
        <v>2.4500000000000002</v>
      </c>
      <c r="AR73" s="403"/>
    </row>
    <row r="74" spans="1:44" ht="15" customHeight="1">
      <c r="A74" s="696"/>
      <c r="B74" s="698"/>
      <c r="C74" s="515"/>
      <c r="D74" s="520"/>
      <c r="E74" s="522"/>
      <c r="F74" s="521" t="str">
        <f t="shared" si="22"/>
        <v/>
      </c>
      <c r="G74" s="518"/>
      <c r="H74" s="190" t="str">
        <f>IF(AND(E74="",G74=""),"",SUM(F74:G75))</f>
        <v/>
      </c>
      <c r="I74" s="191"/>
      <c r="J74" s="514"/>
      <c r="K74" s="514"/>
      <c r="L74" s="197" t="str">
        <f>IF(J74="Duplex",VLOOKUP(M74,'Características dos Cabos M EX'!$C$12:$I$14,7),(IF(J74="Triplex",VLOOKUP(M74,'Características dos Cabos M EX'!$C$15:$J$20,8),(IF(J74="Quadruplex",VLOOKUP(M74,'Características dos Cabos M EX'!$C$21:$K$27,9),(IF(J74="13",VLOOKUP(M74,'Características dos Cabos M EX'!$C$15:$L$20,10),"")))))))</f>
        <v/>
      </c>
      <c r="M74" s="350" t="str">
        <f t="shared" si="5"/>
        <v/>
      </c>
      <c r="N74" s="519"/>
      <c r="O74" s="192" t="str">
        <f t="shared" si="16"/>
        <v/>
      </c>
      <c r="P74" s="192" t="str">
        <f>IF(O74="","",SUM($O66:O$74)+$Z$46)</f>
        <v/>
      </c>
      <c r="Q74" s="192" t="str">
        <f t="shared" si="6"/>
        <v/>
      </c>
      <c r="R74" s="193" t="str">
        <f>IF(J74="Duplex",VLOOKUP(M74,'Características dos Cabos MX CH'!$C$12:$I$14,5),(IF(J74="Triplex",VLOOKUP(M74,'Características dos Cabos MX CH'!$C$15:$J$20,5),(IF(J74="Quadruplex",VLOOKUP(M74,'Características dos Cabos MX CH'!$C$21:$K$27,5),(IF(J74="13",VLOOKUP(M74,'Características dos Cabos MX CH'!$C$15:$L$20,5),"")))))))</f>
        <v/>
      </c>
      <c r="S74" s="193" t="str">
        <f>IF(J74="Duplex",VLOOKUP(M74,'Características dos Cabos MX CH'!$C$12:$I$14,6),(IF(J74="Triplex",VLOOKUP(M74,'Características dos Cabos MX CH'!$C$15:$J$20,6),(IF(J74="Quadruplex",VLOOKUP(M74,'Características dos Cabos MX CH'!$C$21:$K$27,6),(IF(J74="13",VLOOKUP(M74,'Características dos Cabos MX CH'!$C$15:$L$20,6),"")))))))</f>
        <v/>
      </c>
      <c r="T74" s="194" t="str">
        <f t="shared" si="13"/>
        <v/>
      </c>
      <c r="U74" s="447" t="str">
        <f>IF(J74="Duplex",VLOOKUP(M74,'Características dos Cabos MX CH'!$C$12:$I$14,2),(IF(J74="Triplex",VLOOKUP(M74,'Características dos Cabos MX CH'!$C$15:$J$20,2),(IF(J74="Quadruplex",VLOOKUP(M74,'Características dos Cabos MX CH'!$C$21:$K$27,2),(IF(J74="13",VLOOKUP(M74,'Características dos Cabos MX CH'!$C$15:$L$20,2),"")))))))</f>
        <v/>
      </c>
      <c r="V74" s="193" t="str">
        <f>IF(J74="Duplex",VLOOKUP(M74,'Características dos Cabos MX CH'!$C$12:$I$14,3),(IF(J74="Triplex",VLOOKUP(M74,'Características dos Cabos MX CH'!$C$15:$J$20,3),(IF(J74="Quadruplex",VLOOKUP(M74,'Características dos Cabos MX CH'!$C$21:$K$27,3),(IF(J74="13",VLOOKUP(M74,'Características dos Cabos MX CH'!$C$15:$L$20,3),"")))))))</f>
        <v/>
      </c>
      <c r="W74" s="195" t="str">
        <f t="shared" si="17"/>
        <v/>
      </c>
      <c r="X74" s="195" t="str">
        <f t="shared" si="18"/>
        <v/>
      </c>
      <c r="Y74" s="196" t="str">
        <f t="shared" si="19"/>
        <v/>
      </c>
      <c r="AA74" s="488">
        <f t="shared" si="20"/>
        <v>0</v>
      </c>
      <c r="AB74" s="488">
        <f t="shared" si="3"/>
        <v>0</v>
      </c>
      <c r="AC74" s="485"/>
      <c r="AE74" s="492" t="str">
        <f t="shared" si="11"/>
        <v/>
      </c>
      <c r="AF74" s="475">
        <f t="shared" si="15"/>
        <v>0</v>
      </c>
      <c r="AH74" s="420"/>
      <c r="AO74" s="401"/>
      <c r="AP74" s="413">
        <v>250</v>
      </c>
      <c r="AQ74" s="413">
        <v>2.50</v>
      </c>
      <c r="AR74" s="403"/>
    </row>
    <row r="75" spans="1:44" ht="15" customHeight="1" thickBot="1">
      <c r="A75" s="696"/>
      <c r="B75" s="699"/>
      <c r="C75" s="523"/>
      <c r="D75" s="524"/>
      <c r="E75" s="523"/>
      <c r="F75" s="526" t="str">
        <f t="shared" si="22"/>
        <v/>
      </c>
      <c r="G75" s="527"/>
      <c r="H75" s="200" t="str">
        <f>IF(AND(E75="",G75=""),"",SUM(F75:G75))</f>
        <v/>
      </c>
      <c r="I75" s="201"/>
      <c r="J75" s="528"/>
      <c r="K75" s="528"/>
      <c r="L75" s="202" t="str">
        <f>IF(J75="Duplex",VLOOKUP(M75,'Características dos Cabos M EX'!$C$12:$I$14,7),(IF(J75="Triplex",VLOOKUP(M75,'Características dos Cabos M EX'!$C$15:$J$20,8),(IF(J75="Quadruplex",VLOOKUP(M75,'Características dos Cabos M EX'!$C$21:$K$27,9),(IF(J75="13",VLOOKUP(M75,'Características dos Cabos M EX'!$C$15:$L$20,10),"")))))))</f>
        <v/>
      </c>
      <c r="M75" s="353" t="str">
        <f t="shared" si="5"/>
        <v/>
      </c>
      <c r="N75" s="529"/>
      <c r="O75" s="203" t="str">
        <f t="shared" si="16"/>
        <v/>
      </c>
      <c r="P75" s="192" t="str">
        <f>IF(O75="","",SUM($O$66:O75)+$Z$46)</f>
        <v/>
      </c>
      <c r="Q75" s="203" t="str">
        <f t="shared" si="6"/>
        <v/>
      </c>
      <c r="R75" s="204" t="str">
        <f>IF(J75="Duplex",VLOOKUP(M75,'Características dos Cabos MX CH'!$C$12:$I$14,5),(IF(J75="Triplex",VLOOKUP(M75,'Características dos Cabos MX CH'!$C$15:$J$20,5),(IF(J75="Quadruplex",VLOOKUP(M75,'Características dos Cabos MX CH'!$C$21:$K$27,5),(IF(J75="13",VLOOKUP(M75,'Características dos Cabos MX CH'!$C$15:$L$20,5),"")))))))</f>
        <v/>
      </c>
      <c r="S75" s="204" t="str">
        <f>IF(J75="Duplex",VLOOKUP(M75,'Características dos Cabos MX CH'!$C$12:$I$14,6),(IF(J75="Triplex",VLOOKUP(M75,'Características dos Cabos MX CH'!$C$15:$J$20,6),(IF(J75="Quadruplex",VLOOKUP(M75,'Características dos Cabos MX CH'!$C$21:$K$27,6),(IF(J75="13",VLOOKUP(M75,'Características dos Cabos MX CH'!$C$15:$L$20,6),"")))))))</f>
        <v/>
      </c>
      <c r="T75" s="205" t="str">
        <f t="shared" si="13"/>
        <v/>
      </c>
      <c r="U75" s="448" t="str">
        <f>IF(J75="Duplex",VLOOKUP(M75,'Características dos Cabos MX CH'!$C$12:$I$14,2),(IF(J75="Triplex",VLOOKUP(M75,'Características dos Cabos MX CH'!$C$15:$J$20,2),(IF(J75="Quadruplex",VLOOKUP(M75,'Características dos Cabos MX CH'!$C$21:$K$27,2),(IF(J75="13",VLOOKUP(M75,'Características dos Cabos MX CH'!$C$15:$L$20,2),"")))))))</f>
        <v/>
      </c>
      <c r="V75" s="204" t="str">
        <f>IF(J75="Duplex",VLOOKUP(M75,'Características dos Cabos MX CH'!$C$12:$I$14,3),(IF(J75="Triplex",VLOOKUP(M75,'Características dos Cabos MX CH'!$C$15:$J$20,3),(IF(J75="Quadruplex",VLOOKUP(M75,'Características dos Cabos MX CH'!$C$21:$K$27,3),(IF(J75="13",VLOOKUP(M75,'Características dos Cabos MX CH'!$C$15:$L$20,3),"")))))))</f>
        <v/>
      </c>
      <c r="W75" s="206" t="str">
        <f t="shared" si="17"/>
        <v/>
      </c>
      <c r="X75" s="206" t="str">
        <f t="shared" si="18"/>
        <v/>
      </c>
      <c r="Y75" s="207" t="str">
        <f t="shared" si="19"/>
        <v/>
      </c>
      <c r="AA75" s="488">
        <f t="shared" si="20"/>
        <v>0</v>
      </c>
      <c r="AB75" s="488">
        <f t="shared" si="3"/>
        <v>0</v>
      </c>
      <c r="AC75" s="485"/>
      <c r="AE75" s="492" t="str">
        <f t="shared" si="11"/>
        <v/>
      </c>
      <c r="AF75" s="475">
        <f t="shared" si="15"/>
        <v>0</v>
      </c>
      <c r="AH75" s="420"/>
      <c r="AO75" s="401"/>
      <c r="AP75" s="413">
        <v>260</v>
      </c>
      <c r="AQ75" s="413">
        <v>2.5499999999999998</v>
      </c>
      <c r="AR75" s="403"/>
    </row>
    <row r="76" spans="1:44" ht="15" customHeight="1" thickTop="1">
      <c r="A76" s="696"/>
      <c r="B76" s="700" t="str">
        <f>CONCATENATE("Ramal 4 - Derivando no ponto ",C76)</f>
        <v>Ramal 4 - Derivando no ponto 7</v>
      </c>
      <c r="C76" s="515" t="s">
        <v>241</v>
      </c>
      <c r="D76" s="536">
        <v>8</v>
      </c>
      <c r="E76" s="537">
        <v>3</v>
      </c>
      <c r="F76" s="538">
        <f t="shared" si="22"/>
        <v>6.6366641250000011</v>
      </c>
      <c r="G76" s="539">
        <v>0.017999999999999999</v>
      </c>
      <c r="H76" s="209">
        <f>IF(AND(E76="",G76=""),"",SUM(F76:G85))</f>
        <v>26.618656500000007</v>
      </c>
      <c r="I76" s="210"/>
      <c r="J76" s="535" t="s">
        <v>237</v>
      </c>
      <c r="K76" s="535">
        <v>35</v>
      </c>
      <c r="L76" s="197">
        <f>IF(J76="Duplex",VLOOKUP(M76,'Características dos Cabos M EX'!$C$12:$I$14,7),(IF(J76="Triplex",VLOOKUP(M76,'Características dos Cabos M EX'!$C$15:$J$20,8),(IF(J76="Quadruplex",VLOOKUP(M76,'Características dos Cabos M EX'!$C$21:$K$27,9),(IF(J76="13",VLOOKUP(M76,'Características dos Cabos M EX'!$C$15:$L$20,10),"")))))))</f>
        <v>7.8601108033241046E-05</v>
      </c>
      <c r="M76" s="354" t="str">
        <f t="shared" si="5"/>
        <v>d</v>
      </c>
      <c r="N76" s="540">
        <v>35</v>
      </c>
      <c r="O76" s="212">
        <f t="shared" si="16"/>
        <v>0.073228956333968212</v>
      </c>
      <c r="P76" s="217">
        <f>IF(O76="","",O76+VLOOKUP(C76,$D$21:$Q$75,13,FALSE))</f>
        <v>0.52326444326657751</v>
      </c>
      <c r="Q76" s="212">
        <f t="shared" si="6"/>
        <v>40.442864462476813</v>
      </c>
      <c r="R76" s="213">
        <f>IF(J76="Duplex",VLOOKUP(M76,'Características dos Cabos MX CH'!$C$12:$I$14,5),(IF(J76="Triplex",VLOOKUP(M76,'Características dos Cabos MX CH'!$C$15:$J$20,5),(IF(J76="Quadruplex",VLOOKUP(M76,'Características dos Cabos MX CH'!$C$21:$K$27,5),(IF(J76="13",VLOOKUP(M76,'Características dos Cabos MX CH'!$C$15:$L$20,5),"")))))))</f>
        <v>126</v>
      </c>
      <c r="S76" s="213">
        <f>IF(J76="Duplex",VLOOKUP(M76,'Características dos Cabos MX CH'!$C$12:$I$14,6),(IF(J76="Triplex",VLOOKUP(M76,'Características dos Cabos MX CH'!$C$15:$J$20,6),(IF(J76="Quadruplex",VLOOKUP(M76,'Características dos Cabos MX CH'!$C$21:$K$27,6),(IF(J76="13",VLOOKUP(M76,'Características dos Cabos MX CH'!$C$15:$L$20,6),"")))))))</f>
        <v>148</v>
      </c>
      <c r="T76" s="214">
        <f t="shared" si="13"/>
        <v>0.27326259771943795</v>
      </c>
      <c r="U76" s="450">
        <f>IF(J76="Duplex",VLOOKUP(M76,'Características dos Cabos MX CH'!$C$12:$I$14,2),(IF(J76="Triplex",VLOOKUP(M76,'Características dos Cabos MX CH'!$C$15:$J$20,2),(IF(J76="Quadruplex",VLOOKUP(M76,'Características dos Cabos MX CH'!$C$21:$K$27,2),(IF(J76="13",VLOOKUP(M76,'Características dos Cabos MX CH'!$C$15:$L$20,2),"")))))))</f>
        <v>1.1201000000000001</v>
      </c>
      <c r="V76" s="213">
        <f>IF(J76="Duplex",VLOOKUP(M76,'Características dos Cabos MX CH'!$C$12:$I$14,3),(IF(J76="Triplex",VLOOKUP(M76,'Características dos Cabos MX CH'!$C$15:$J$20,3),(IF(J76="Quadruplex",VLOOKUP(M76,'Características dos Cabos MX CH'!$C$21:$K$27,3),(IF(J76="13",VLOOKUP(M76,'Características dos Cabos MX CH'!$C$15:$L$20,3),"")))))))</f>
        <v>1.1201000000000001</v>
      </c>
      <c r="W76" s="215">
        <f t="shared" si="17"/>
        <v>7.9395169061550073</v>
      </c>
      <c r="X76" s="215">
        <f t="shared" si="18"/>
        <v>7.9395169061550073</v>
      </c>
      <c r="Y76" s="216">
        <f t="shared" si="19"/>
        <v>7.9395169061550073</v>
      </c>
      <c r="Z76" s="463">
        <f>IF(O76="","",VLOOKUP(C76,$D$21:$P$75,13,FALSE))</f>
        <v>0.45003548693260931</v>
      </c>
      <c r="AA76" s="488">
        <f t="shared" si="20"/>
        <v>8</v>
      </c>
      <c r="AB76" s="488">
        <f t="shared" si="3"/>
        <v>35</v>
      </c>
      <c r="AC76" s="485"/>
      <c r="AE76" s="492">
        <f t="shared" si="11"/>
        <v>6.6366641250000011</v>
      </c>
      <c r="AF76" s="475">
        <f t="shared" si="15"/>
        <v>0.017999999999999999</v>
      </c>
      <c r="AH76" s="420"/>
      <c r="AO76" s="401"/>
      <c r="AP76" s="413">
        <v>270</v>
      </c>
      <c r="AQ76" s="413">
        <v>2.61</v>
      </c>
      <c r="AR76" s="403"/>
    </row>
    <row r="77" spans="1:44" ht="15" customHeight="1">
      <c r="A77" s="696"/>
      <c r="B77" s="698"/>
      <c r="C77" s="515" t="s">
        <v>264</v>
      </c>
      <c r="D77" s="520">
        <v>9</v>
      </c>
      <c r="E77" s="522">
        <v>3</v>
      </c>
      <c r="F77" s="521">
        <f t="shared" si="22"/>
        <v>6.6366641250000011</v>
      </c>
      <c r="G77" s="539">
        <v>0.017999999999999999</v>
      </c>
      <c r="H77" s="190">
        <f>IF(AND(E77="",G77=""),"",SUM(F77:G85))</f>
        <v>19.963992375000004</v>
      </c>
      <c r="I77" s="191"/>
      <c r="J77" s="514" t="s">
        <v>237</v>
      </c>
      <c r="K77" s="514">
        <v>35</v>
      </c>
      <c r="L77" s="197">
        <f>IF(J77="Duplex",VLOOKUP(M77,'Características dos Cabos M EX'!$C$12:$I$14,7),(IF(J77="Triplex",VLOOKUP(M77,'Características dos Cabos M EX'!$C$15:$J$20,8),(IF(J77="Quadruplex",VLOOKUP(M77,'Características dos Cabos M EX'!$C$21:$K$27,9),(IF(J77="13",VLOOKUP(M77,'Características dos Cabos M EX'!$C$15:$L$20,10),"")))))))</f>
        <v>7.8601108033241046E-05</v>
      </c>
      <c r="M77" s="350" t="str">
        <f t="shared" si="5"/>
        <v>d</v>
      </c>
      <c r="N77" s="540">
        <v>35</v>
      </c>
      <c r="O77" s="192">
        <f t="shared" si="16"/>
        <v>0.054921717250476156</v>
      </c>
      <c r="P77" s="192">
        <f>IF(O77="","",SUM($O76:O$77)+$Z$76)</f>
        <v>0.57818616051705374</v>
      </c>
      <c r="Q77" s="192">
        <f t="shared" si="6"/>
        <v>30.332148346857608</v>
      </c>
      <c r="R77" s="193">
        <f>IF(J77="Duplex",VLOOKUP(M77,'Características dos Cabos MX CH'!$C$12:$I$14,5),(IF(J77="Triplex",VLOOKUP(M77,'Características dos Cabos MX CH'!$C$15:$J$20,5),(IF(J77="Quadruplex",VLOOKUP(M77,'Características dos Cabos MX CH'!$C$21:$K$27,5),(IF(J77="13",VLOOKUP(M77,'Características dos Cabos MX CH'!$C$15:$L$20,5),"")))))))</f>
        <v>126</v>
      </c>
      <c r="S77" s="193">
        <f>IF(J77="Duplex",VLOOKUP(M77,'Características dos Cabos MX CH'!$C$12:$I$14,6),(IF(J77="Triplex",VLOOKUP(M77,'Características dos Cabos MX CH'!$C$15:$J$20,6),(IF(J77="Quadruplex",VLOOKUP(M77,'Características dos Cabos MX CH'!$C$21:$K$27,6),(IF(J77="13",VLOOKUP(M77,'Características dos Cabos MX CH'!$C$15:$L$20,6),"")))))))</f>
        <v>148</v>
      </c>
      <c r="T77" s="194">
        <f t="shared" si="13"/>
        <v>0.20494694828957843</v>
      </c>
      <c r="U77" s="447">
        <f>IF(J77="Duplex",VLOOKUP(M77,'Características dos Cabos MX CH'!$C$12:$I$14,2),(IF(J77="Triplex",VLOOKUP(M77,'Características dos Cabos MX CH'!$C$15:$J$20,2),(IF(J77="Quadruplex",VLOOKUP(M77,'Características dos Cabos MX CH'!$C$21:$K$27,2),(IF(J77="13",VLOOKUP(M77,'Características dos Cabos MX CH'!$C$15:$L$20,2),"")))))))</f>
        <v>1.1201000000000001</v>
      </c>
      <c r="V77" s="193">
        <f>IF(J77="Duplex",VLOOKUP(M77,'Características dos Cabos MX CH'!$C$12:$I$14,3),(IF(J77="Triplex",VLOOKUP(M77,'Características dos Cabos MX CH'!$C$15:$J$20,3),(IF(J77="Quadruplex",VLOOKUP(M77,'Características dos Cabos MX CH'!$C$21:$K$27,3),(IF(J77="13",VLOOKUP(M77,'Características dos Cabos MX CH'!$C$15:$L$20,3),"")))))))</f>
        <v>1.1201000000000001</v>
      </c>
      <c r="W77" s="195">
        <f t="shared" si="17"/>
        <v>5.9546376796162548</v>
      </c>
      <c r="X77" s="195">
        <f t="shared" si="18"/>
        <v>5.9546376796162548</v>
      </c>
      <c r="Y77" s="196">
        <f t="shared" si="19"/>
        <v>5.9546376796162548</v>
      </c>
      <c r="AA77" s="488">
        <f t="shared" si="20"/>
        <v>9</v>
      </c>
      <c r="AB77" s="488">
        <f t="shared" si="3"/>
        <v>35</v>
      </c>
      <c r="AC77" s="485"/>
      <c r="AE77" s="492">
        <f t="shared" si="11"/>
        <v>6.6366641250000011</v>
      </c>
      <c r="AF77" s="475">
        <f t="shared" si="15"/>
        <v>0.017999999999999999</v>
      </c>
      <c r="AH77" s="420"/>
      <c r="AO77" s="401"/>
      <c r="AP77" s="413">
        <v>280</v>
      </c>
      <c r="AQ77" s="413">
        <v>2.66</v>
      </c>
      <c r="AR77" s="403"/>
    </row>
    <row r="78" spans="1:44" ht="15" customHeight="1">
      <c r="A78" s="696"/>
      <c r="B78" s="698"/>
      <c r="C78" s="515" t="s">
        <v>265</v>
      </c>
      <c r="D78" s="520">
        <v>10</v>
      </c>
      <c r="E78" s="522">
        <v>3</v>
      </c>
      <c r="F78" s="521">
        <f t="shared" si="22"/>
        <v>6.6366641250000011</v>
      </c>
      <c r="G78" s="539">
        <v>0.017999999999999999</v>
      </c>
      <c r="H78" s="190">
        <f>IF(AND(E78="",G78=""),"",SUM(F78:G85))</f>
        <v>13.309328250000004</v>
      </c>
      <c r="I78" s="191"/>
      <c r="J78" s="514" t="s">
        <v>237</v>
      </c>
      <c r="K78" s="514">
        <v>35</v>
      </c>
      <c r="L78" s="197">
        <f>IF(J78="Duplex",VLOOKUP(M78,'Características dos Cabos M EX'!$C$12:$I$14,7),(IF(J78="Triplex",VLOOKUP(M78,'Características dos Cabos M EX'!$C$15:$J$20,8),(IF(J78="Quadruplex",VLOOKUP(M78,'Características dos Cabos M EX'!$C$21:$K$27,9),(IF(J78="13",VLOOKUP(M78,'Características dos Cabos M EX'!$C$15:$L$20,10),"")))))))</f>
        <v>7.8601108033241046E-05</v>
      </c>
      <c r="M78" s="350" t="str">
        <f t="shared" si="5"/>
        <v>d</v>
      </c>
      <c r="N78" s="540">
        <v>35</v>
      </c>
      <c r="O78" s="192">
        <f t="shared" si="16"/>
        <v>0.036614478166984106</v>
      </c>
      <c r="P78" s="192">
        <f>IF(O78="","",SUM($O76:O$78)+$Z$76)</f>
        <v>0.61480063868403778</v>
      </c>
      <c r="Q78" s="192">
        <f t="shared" si="6"/>
        <v>20.221432231238406</v>
      </c>
      <c r="R78" s="193">
        <f>IF(J78="Duplex",VLOOKUP(M78,'Características dos Cabos MX CH'!$C$12:$I$14,5),(IF(J78="Triplex",VLOOKUP(M78,'Características dos Cabos MX CH'!$C$15:$J$20,5),(IF(J78="Quadruplex",VLOOKUP(M78,'Características dos Cabos MX CH'!$C$21:$K$27,5),(IF(J78="13",VLOOKUP(M78,'Características dos Cabos MX CH'!$C$15:$L$20,5),"")))))))</f>
        <v>126</v>
      </c>
      <c r="S78" s="193">
        <f>IF(J78="Duplex",VLOOKUP(M78,'Características dos Cabos MX CH'!$C$12:$I$14,6),(IF(J78="Triplex",VLOOKUP(M78,'Características dos Cabos MX CH'!$C$15:$J$20,6),(IF(J78="Quadruplex",VLOOKUP(M78,'Características dos Cabos MX CH'!$C$21:$K$27,6),(IF(J78="13",VLOOKUP(M78,'Características dos Cabos MX CH'!$C$15:$L$20,6),"")))))))</f>
        <v>148</v>
      </c>
      <c r="T78" s="194">
        <f t="shared" si="13"/>
        <v>0.13663129885971897</v>
      </c>
      <c r="U78" s="447">
        <f>IF(J78="Duplex",VLOOKUP(M78,'Características dos Cabos MX CH'!$C$12:$I$14,2),(IF(J78="Triplex",VLOOKUP(M78,'Características dos Cabos MX CH'!$C$15:$J$20,2),(IF(J78="Quadruplex",VLOOKUP(M78,'Características dos Cabos MX CH'!$C$21:$K$27,2),(IF(J78="13",VLOOKUP(M78,'Características dos Cabos MX CH'!$C$15:$L$20,2),"")))))))</f>
        <v>1.1201000000000001</v>
      </c>
      <c r="V78" s="193">
        <f>IF(J78="Duplex",VLOOKUP(M78,'Características dos Cabos MX CH'!$C$12:$I$14,3),(IF(J78="Triplex",VLOOKUP(M78,'Características dos Cabos MX CH'!$C$15:$J$20,3),(IF(J78="Quadruplex",VLOOKUP(M78,'Características dos Cabos MX CH'!$C$21:$K$27,3),(IF(J78="13",VLOOKUP(M78,'Características dos Cabos MX CH'!$C$15:$L$20,3),"")))))))</f>
        <v>1.1201000000000001</v>
      </c>
      <c r="W78" s="195">
        <f t="shared" si="17"/>
        <v>3.9697584530775036</v>
      </c>
      <c r="X78" s="195">
        <f t="shared" si="18"/>
        <v>3.9697584530775036</v>
      </c>
      <c r="Y78" s="196">
        <f t="shared" si="19"/>
        <v>3.9697584530775036</v>
      </c>
      <c r="AA78" s="488">
        <f t="shared" si="20"/>
        <v>10</v>
      </c>
      <c r="AB78" s="488">
        <f t="shared" si="3"/>
        <v>35</v>
      </c>
      <c r="AC78" s="485"/>
      <c r="AE78" s="492">
        <f t="shared" si="11"/>
        <v>6.6366641250000011</v>
      </c>
      <c r="AF78" s="475">
        <f t="shared" si="15"/>
        <v>0.017999999999999999</v>
      </c>
      <c r="AH78" s="420"/>
      <c r="AO78" s="401"/>
      <c r="AP78" s="413">
        <v>290</v>
      </c>
      <c r="AQ78" s="413">
        <v>2.71</v>
      </c>
      <c r="AR78" s="403"/>
    </row>
    <row r="79" spans="1:44" ht="15" customHeight="1">
      <c r="A79" s="696"/>
      <c r="B79" s="698"/>
      <c r="C79" s="515" t="s">
        <v>266</v>
      </c>
      <c r="D79" s="520">
        <v>11</v>
      </c>
      <c r="E79" s="522">
        <v>3</v>
      </c>
      <c r="F79" s="521">
        <f t="shared" si="22"/>
        <v>6.6366641250000011</v>
      </c>
      <c r="G79" s="539">
        <v>0.017999999999999999</v>
      </c>
      <c r="H79" s="190">
        <f>IF(AND(E79="",G79=""),"",SUM(F79:G85))</f>
        <v>6.6546641250000009</v>
      </c>
      <c r="I79" s="191"/>
      <c r="J79" s="514" t="s">
        <v>237</v>
      </c>
      <c r="K79" s="514">
        <v>35</v>
      </c>
      <c r="L79" s="197">
        <f>IF(J79="Duplex",VLOOKUP(M79,'Características dos Cabos M EX'!$C$12:$I$14,7),(IF(J79="Triplex",VLOOKUP(M79,'Características dos Cabos M EX'!$C$15:$J$20,8),(IF(J79="Quadruplex",VLOOKUP(M79,'Características dos Cabos M EX'!$C$21:$K$27,9),(IF(J79="13",VLOOKUP(M79,'Características dos Cabos M EX'!$C$15:$L$20,10),"")))))))</f>
        <v>7.8601108033241046E-05</v>
      </c>
      <c r="M79" s="350" t="str">
        <f t="shared" si="5"/>
        <v>d</v>
      </c>
      <c r="N79" s="540">
        <v>35</v>
      </c>
      <c r="O79" s="192">
        <f t="shared" si="16"/>
        <v>0.01830723908349205</v>
      </c>
      <c r="P79" s="192">
        <f>IF(O79="","",SUM($O76:O$79)+$Z$76)</f>
        <v>0.63310787776752986</v>
      </c>
      <c r="Q79" s="192">
        <f t="shared" si="6"/>
        <v>10.110716115619201</v>
      </c>
      <c r="R79" s="193">
        <f>IF(J79="Duplex",VLOOKUP(M79,'Características dos Cabos MX CH'!$C$12:$I$14,5),(IF(J79="Triplex",VLOOKUP(M79,'Características dos Cabos MX CH'!$C$15:$J$20,5),(IF(J79="Quadruplex",VLOOKUP(M79,'Características dos Cabos MX CH'!$C$21:$K$27,5),(IF(J79="13",VLOOKUP(M79,'Características dos Cabos MX CH'!$C$15:$L$20,5),"")))))))</f>
        <v>126</v>
      </c>
      <c r="S79" s="193">
        <f>IF(J79="Duplex",VLOOKUP(M79,'Características dos Cabos MX CH'!$C$12:$I$14,6),(IF(J79="Triplex",VLOOKUP(M79,'Características dos Cabos MX CH'!$C$15:$J$20,6),(IF(J79="Quadruplex",VLOOKUP(M79,'Características dos Cabos MX CH'!$C$21:$K$27,6),(IF(J79="13",VLOOKUP(M79,'Características dos Cabos MX CH'!$C$15:$L$20,6),"")))))))</f>
        <v>148</v>
      </c>
      <c r="T79" s="194">
        <f t="shared" si="13"/>
        <v>0.068315649429859474</v>
      </c>
      <c r="U79" s="447">
        <f>IF(J79="Duplex",VLOOKUP(M79,'Características dos Cabos MX CH'!$C$12:$I$14,2),(IF(J79="Triplex",VLOOKUP(M79,'Características dos Cabos MX CH'!$C$15:$J$20,2),(IF(J79="Quadruplex",VLOOKUP(M79,'Características dos Cabos MX CH'!$C$21:$K$27,2),(IF(J79="13",VLOOKUP(M79,'Características dos Cabos MX CH'!$C$15:$L$20,2),"")))))))</f>
        <v>1.1201000000000001</v>
      </c>
      <c r="V79" s="193">
        <f>IF(J79="Duplex",VLOOKUP(M79,'Características dos Cabos MX CH'!$C$12:$I$14,3),(IF(J79="Triplex",VLOOKUP(M79,'Características dos Cabos MX CH'!$C$15:$J$20,3),(IF(J79="Quadruplex",VLOOKUP(M79,'Características dos Cabos MX CH'!$C$21:$K$27,3),(IF(J79="13",VLOOKUP(M79,'Características dos Cabos MX CH'!$C$15:$L$20,3),"")))))))</f>
        <v>1.1201000000000001</v>
      </c>
      <c r="W79" s="195">
        <f t="shared" si="17"/>
        <v>1.9848792265387516</v>
      </c>
      <c r="X79" s="195">
        <f t="shared" si="18"/>
        <v>1.9848792265387516</v>
      </c>
      <c r="Y79" s="196">
        <f t="shared" si="19"/>
        <v>1.9848792265387516</v>
      </c>
      <c r="AA79" s="488">
        <f t="shared" si="20"/>
        <v>11</v>
      </c>
      <c r="AB79" s="488">
        <f t="shared" si="3"/>
        <v>35</v>
      </c>
      <c r="AC79" s="485"/>
      <c r="AE79" s="492">
        <f t="shared" si="11"/>
        <v>6.6366641250000011</v>
      </c>
      <c r="AF79" s="475">
        <f t="shared" si="15"/>
        <v>0.017999999999999999</v>
      </c>
      <c r="AH79" s="420"/>
      <c r="AO79" s="401"/>
      <c r="AP79" s="413">
        <v>300</v>
      </c>
      <c r="AQ79" s="413">
        <v>2.76</v>
      </c>
      <c r="AR79" s="403"/>
    </row>
    <row r="80" spans="1:44" ht="15" customHeight="1">
      <c r="A80" s="696"/>
      <c r="B80" s="698"/>
      <c r="C80" s="515"/>
      <c r="D80" s="520"/>
      <c r="E80" s="522"/>
      <c r="F80" s="521" t="str">
        <f t="shared" si="22"/>
        <v/>
      </c>
      <c r="G80" s="518"/>
      <c r="H80" s="190" t="str">
        <f>IF(AND(E80="",G80=""),"",SUM(F80:G85))</f>
        <v/>
      </c>
      <c r="I80" s="191"/>
      <c r="J80" s="514"/>
      <c r="K80" s="514"/>
      <c r="L80" s="197" t="str">
        <f>IF(J80="Duplex",VLOOKUP(M80,'Características dos Cabos M EX'!$C$12:$I$14,7),(IF(J80="Triplex",VLOOKUP(M80,'Características dos Cabos M EX'!$C$15:$J$20,8),(IF(J80="Quadruplex",VLOOKUP(M80,'Características dos Cabos M EX'!$C$21:$K$27,9),(IF(J80="13",VLOOKUP(M80,'Características dos Cabos M EX'!$C$15:$L$20,10),"")))))))</f>
        <v/>
      </c>
      <c r="M80" s="350" t="str">
        <f t="shared" si="5"/>
        <v/>
      </c>
      <c r="N80" s="519"/>
      <c r="O80" s="192" t="str">
        <f t="shared" si="16"/>
        <v/>
      </c>
      <c r="P80" s="192" t="str">
        <f>IF(O80="","",SUM($O76:O$80)+$Z$74)</f>
        <v/>
      </c>
      <c r="Q80" s="192" t="str">
        <f t="shared" si="6"/>
        <v/>
      </c>
      <c r="R80" s="193" t="str">
        <f>IF(J80="Duplex",VLOOKUP(M80,'Características dos Cabos MX CH'!$C$12:$I$14,5),(IF(J80="Triplex",VLOOKUP(M80,'Características dos Cabos MX CH'!$C$15:$J$20,5),(IF(J80="Quadruplex",VLOOKUP(M80,'Características dos Cabos MX CH'!$C$21:$K$27,5),(IF(J80="13",VLOOKUP(M80,'Características dos Cabos MX CH'!$C$15:$L$20,5),"")))))))</f>
        <v/>
      </c>
      <c r="S80" s="193" t="str">
        <f>IF(J80="Duplex",VLOOKUP(M80,'Características dos Cabos MX CH'!$C$12:$I$14,6),(IF(J80="Triplex",VLOOKUP(M80,'Características dos Cabos MX CH'!$C$15:$J$20,6),(IF(J80="Quadruplex",VLOOKUP(M80,'Características dos Cabos MX CH'!$C$21:$K$27,6),(IF(J80="13",VLOOKUP(M80,'Características dos Cabos MX CH'!$C$15:$L$20,6),"")))))))</f>
        <v/>
      </c>
      <c r="T80" s="194" t="str">
        <f t="shared" si="13"/>
        <v/>
      </c>
      <c r="U80" s="447" t="str">
        <f>IF(J80="Duplex",VLOOKUP(M80,'Características dos Cabos MX CH'!$C$12:$I$14,2),(IF(J80="Triplex",VLOOKUP(M80,'Características dos Cabos MX CH'!$C$15:$J$20,2),(IF(J80="Quadruplex",VLOOKUP(M80,'Características dos Cabos MX CH'!$C$21:$K$27,2),(IF(J80="13",VLOOKUP(M80,'Características dos Cabos MX CH'!$C$15:$L$20,2),"")))))))</f>
        <v/>
      </c>
      <c r="V80" s="193" t="str">
        <f>IF(J80="Duplex",VLOOKUP(M80,'Características dos Cabos MX CH'!$C$12:$I$14,3),(IF(J80="Triplex",VLOOKUP(M80,'Características dos Cabos MX CH'!$C$15:$J$20,3),(IF(J80="Quadruplex",VLOOKUP(M80,'Características dos Cabos MX CH'!$C$21:$K$27,3),(IF(J80="13",VLOOKUP(M80,'Características dos Cabos MX CH'!$C$15:$L$20,3),"")))))))</f>
        <v/>
      </c>
      <c r="W80" s="195" t="str">
        <f t="shared" si="17"/>
        <v/>
      </c>
      <c r="X80" s="195" t="str">
        <f t="shared" si="18"/>
        <v/>
      </c>
      <c r="Y80" s="196" t="str">
        <f t="shared" si="19"/>
        <v/>
      </c>
      <c r="AA80" s="488">
        <f t="shared" si="20"/>
        <v>0</v>
      </c>
      <c r="AB80" s="488">
        <f t="shared" si="3"/>
        <v>0</v>
      </c>
      <c r="AC80" s="485"/>
      <c r="AE80" s="492" t="str">
        <f t="shared" si="11"/>
        <v/>
      </c>
      <c r="AF80" s="475">
        <f t="shared" si="15"/>
        <v>0</v>
      </c>
      <c r="AH80" s="420"/>
      <c r="AO80" s="401"/>
      <c r="AP80" s="413">
        <v>310</v>
      </c>
      <c r="AQ80" s="413">
        <v>2.81</v>
      </c>
      <c r="AR80" s="403"/>
    </row>
    <row r="81" spans="1:44" ht="15" customHeight="1">
      <c r="A81" s="696"/>
      <c r="B81" s="698"/>
      <c r="C81" s="515"/>
      <c r="D81" s="520"/>
      <c r="E81" s="522"/>
      <c r="F81" s="521" t="str">
        <f t="shared" si="22"/>
        <v/>
      </c>
      <c r="G81" s="518"/>
      <c r="H81" s="190" t="str">
        <f>IF(AND(E81="",G81=""),"",SUM(F81:G85))</f>
        <v/>
      </c>
      <c r="I81" s="191"/>
      <c r="J81" s="514"/>
      <c r="K81" s="514"/>
      <c r="L81" s="197" t="str">
        <f>IF(J81="Duplex",VLOOKUP(M81,'Características dos Cabos M EX'!$C$12:$I$14,7),(IF(J81="Triplex",VLOOKUP(M81,'Características dos Cabos M EX'!$C$15:$J$20,8),(IF(J81="Quadruplex",VLOOKUP(M81,'Características dos Cabos M EX'!$C$21:$K$27,9),(IF(J81="13",VLOOKUP(M81,'Características dos Cabos M EX'!$C$15:$L$20,10),"")))))))</f>
        <v/>
      </c>
      <c r="M81" s="350" t="str">
        <f t="shared" si="5"/>
        <v/>
      </c>
      <c r="N81" s="519"/>
      <c r="O81" s="192" t="str">
        <f t="shared" si="16"/>
        <v/>
      </c>
      <c r="P81" s="192" t="str">
        <f>IF(O81="","",SUM($O$76:O81)+$Z$46)</f>
        <v/>
      </c>
      <c r="Q81" s="192" t="str">
        <f t="shared" si="6"/>
        <v/>
      </c>
      <c r="R81" s="193" t="str">
        <f>IF(J81="Duplex",VLOOKUP(M81,'Características dos Cabos MX CH'!$C$12:$I$14,5),(IF(J81="Triplex",VLOOKUP(M81,'Características dos Cabos MX CH'!$C$15:$J$20,5),(IF(J81="Quadruplex",VLOOKUP(M81,'Características dos Cabos MX CH'!$C$21:$K$27,5),(IF(J81="13",VLOOKUP(M81,'Características dos Cabos MX CH'!$C$15:$L$20,5),"")))))))</f>
        <v/>
      </c>
      <c r="S81" s="193" t="str">
        <f>IF(J81="Duplex",VLOOKUP(M81,'Características dos Cabos MX CH'!$C$12:$I$14,6),(IF(J81="Triplex",VLOOKUP(M81,'Características dos Cabos MX CH'!$C$15:$J$20,6),(IF(J81="Quadruplex",VLOOKUP(M81,'Características dos Cabos MX CH'!$C$21:$K$27,6),(IF(J81="13",VLOOKUP(M81,'Características dos Cabos MX CH'!$C$15:$L$20,6),"")))))))</f>
        <v/>
      </c>
      <c r="T81" s="194" t="str">
        <f t="shared" si="13"/>
        <v/>
      </c>
      <c r="U81" s="447" t="str">
        <f>IF(J81="Duplex",VLOOKUP(M81,'Características dos Cabos MX CH'!$C$12:$I$14,2),(IF(J81="Triplex",VLOOKUP(M81,'Características dos Cabos MX CH'!$C$15:$J$20,2),(IF(J81="Quadruplex",VLOOKUP(M81,'Características dos Cabos MX CH'!$C$21:$K$27,2),(IF(J81="13",VLOOKUP(M81,'Características dos Cabos MX CH'!$C$15:$L$20,2),"")))))))</f>
        <v/>
      </c>
      <c r="V81" s="193" t="str">
        <f>IF(J81="Duplex",VLOOKUP(M81,'Características dos Cabos MX CH'!$C$12:$I$14,3),(IF(J81="Triplex",VLOOKUP(M81,'Características dos Cabos MX CH'!$C$15:$J$20,3),(IF(J81="Quadruplex",VLOOKUP(M81,'Características dos Cabos MX CH'!$C$21:$K$27,3),(IF(J81="13",VLOOKUP(M81,'Características dos Cabos MX CH'!$C$15:$L$20,3),"")))))))</f>
        <v/>
      </c>
      <c r="W81" s="195" t="str">
        <f t="shared" si="17"/>
        <v/>
      </c>
      <c r="X81" s="195" t="str">
        <f t="shared" si="18"/>
        <v/>
      </c>
      <c r="Y81" s="196" t="str">
        <f t="shared" si="19"/>
        <v/>
      </c>
      <c r="AA81" s="488">
        <f t="shared" si="20"/>
        <v>0</v>
      </c>
      <c r="AB81" s="488">
        <f t="shared" si="3"/>
        <v>0</v>
      </c>
      <c r="AC81" s="485"/>
      <c r="AE81" s="492" t="str">
        <f t="shared" si="11"/>
        <v/>
      </c>
      <c r="AF81" s="475">
        <f t="shared" si="15"/>
        <v>0</v>
      </c>
      <c r="AH81" s="420"/>
      <c r="AO81" s="401"/>
      <c r="AP81" s="413">
        <v>320</v>
      </c>
      <c r="AQ81" s="413">
        <v>2.86</v>
      </c>
      <c r="AR81" s="403"/>
    </row>
    <row r="82" spans="1:44" ht="15" customHeight="1">
      <c r="A82" s="696"/>
      <c r="B82" s="698"/>
      <c r="C82" s="515"/>
      <c r="D82" s="520"/>
      <c r="E82" s="522"/>
      <c r="F82" s="521" t="str">
        <f t="shared" si="22"/>
        <v/>
      </c>
      <c r="G82" s="518"/>
      <c r="H82" s="190" t="str">
        <f>IF(AND(E82="",G82=""),"",SUM(F82:G85))</f>
        <v/>
      </c>
      <c r="I82" s="191"/>
      <c r="J82" s="514"/>
      <c r="K82" s="514"/>
      <c r="L82" s="197" t="str">
        <f>IF(J82="Duplex",VLOOKUP(M82,'Características dos Cabos M EX'!$C$12:$I$14,7),(IF(J82="Triplex",VLOOKUP(M82,'Características dos Cabos M EX'!$C$15:$J$20,8),(IF(J82="Quadruplex",VLOOKUP(M82,'Características dos Cabos M EX'!$C$21:$K$27,9),(IF(J82="13",VLOOKUP(M82,'Características dos Cabos M EX'!$C$15:$L$20,10),"")))))))</f>
        <v/>
      </c>
      <c r="M82" s="350" t="str">
        <f t="shared" si="5"/>
        <v/>
      </c>
      <c r="N82" s="519"/>
      <c r="O82" s="192" t="str">
        <f t="shared" si="16"/>
        <v/>
      </c>
      <c r="P82" s="192" t="str">
        <f>IF(O82="","",SUM($O$76:O82)+$Z$46)</f>
        <v/>
      </c>
      <c r="Q82" s="192" t="str">
        <f t="shared" si="6"/>
        <v/>
      </c>
      <c r="R82" s="193" t="str">
        <f>IF(J82="Duplex",VLOOKUP(M82,'Características dos Cabos MX CH'!$C$12:$I$14,5),(IF(J82="Triplex",VLOOKUP(M82,'Características dos Cabos MX CH'!$C$15:$J$20,5),(IF(J82="Quadruplex",VLOOKUP(M82,'Características dos Cabos MX CH'!$C$21:$K$27,5),(IF(J82="13",VLOOKUP(M82,'Características dos Cabos MX CH'!$C$15:$L$20,5),"")))))))</f>
        <v/>
      </c>
      <c r="S82" s="193" t="str">
        <f>IF(J82="Duplex",VLOOKUP(M82,'Características dos Cabos MX CH'!$C$12:$I$14,6),(IF(J82="Triplex",VLOOKUP(M82,'Características dos Cabos MX CH'!$C$15:$J$20,6),(IF(J82="Quadruplex",VLOOKUP(M82,'Características dos Cabos MX CH'!$C$21:$K$27,6),(IF(J82="13",VLOOKUP(M82,'Características dos Cabos MX CH'!$C$15:$L$20,6),"")))))))</f>
        <v/>
      </c>
      <c r="T82" s="194" t="str">
        <f t="shared" si="13"/>
        <v/>
      </c>
      <c r="U82" s="447" t="str">
        <f>IF(J82="Duplex",VLOOKUP(M82,'Características dos Cabos MX CH'!$C$12:$I$14,2),(IF(J82="Triplex",VLOOKUP(M82,'Características dos Cabos MX CH'!$C$15:$J$20,2),(IF(J82="Quadruplex",VLOOKUP(M82,'Características dos Cabos MX CH'!$C$21:$K$27,2),(IF(J82="13",VLOOKUP(M82,'Características dos Cabos MX CH'!$C$15:$L$20,2),"")))))))</f>
        <v/>
      </c>
      <c r="V82" s="193" t="str">
        <f>IF(J82="Duplex",VLOOKUP(M82,'Características dos Cabos MX CH'!$C$12:$I$14,3),(IF(J82="Triplex",VLOOKUP(M82,'Características dos Cabos MX CH'!$C$15:$J$20,3),(IF(J82="Quadruplex",VLOOKUP(M82,'Características dos Cabos MX CH'!$C$21:$K$27,3),(IF(J82="13",VLOOKUP(M82,'Características dos Cabos MX CH'!$C$15:$L$20,3),"")))))))</f>
        <v/>
      </c>
      <c r="W82" s="195" t="str">
        <f t="shared" si="17"/>
        <v/>
      </c>
      <c r="X82" s="195" t="str">
        <f t="shared" si="18"/>
        <v/>
      </c>
      <c r="Y82" s="196" t="str">
        <f t="shared" si="19"/>
        <v/>
      </c>
      <c r="AA82" s="488">
        <f t="shared" si="20"/>
        <v>0</v>
      </c>
      <c r="AB82" s="488">
        <f t="shared" si="3"/>
        <v>0</v>
      </c>
      <c r="AC82" s="485"/>
      <c r="AE82" s="492" t="str">
        <f t="shared" si="11"/>
        <v/>
      </c>
      <c r="AF82" s="475">
        <f t="shared" si="15"/>
        <v>0</v>
      </c>
      <c r="AH82" s="420"/>
      <c r="AO82" s="401"/>
      <c r="AP82" s="413">
        <v>330</v>
      </c>
      <c r="AQ82" s="413">
        <v>2.91</v>
      </c>
      <c r="AR82" s="403"/>
    </row>
    <row r="83" spans="1:44" ht="15" customHeight="1">
      <c r="A83" s="696"/>
      <c r="B83" s="698"/>
      <c r="C83" s="515"/>
      <c r="D83" s="520"/>
      <c r="E83" s="522"/>
      <c r="F83" s="521" t="str">
        <f t="shared" si="22"/>
        <v/>
      </c>
      <c r="G83" s="518"/>
      <c r="H83" s="190" t="str">
        <f>IF(AND(E83="",G83=""),"",SUM(F83:G85))</f>
        <v/>
      </c>
      <c r="I83" s="191"/>
      <c r="J83" s="514"/>
      <c r="K83" s="514"/>
      <c r="L83" s="197" t="str">
        <f>IF(J83="Duplex",VLOOKUP(M83,'Características dos Cabos M EX'!$C$12:$I$14,7),(IF(J83="Triplex",VLOOKUP(M83,'Características dos Cabos M EX'!$C$15:$J$20,8),(IF(J83="Quadruplex",VLOOKUP(M83,'Características dos Cabos M EX'!$C$21:$K$27,9),(IF(J83="13",VLOOKUP(M83,'Características dos Cabos M EX'!$C$15:$L$20,10),"")))))))</f>
        <v/>
      </c>
      <c r="M83" s="350" t="str">
        <f t="shared" si="5"/>
        <v/>
      </c>
      <c r="N83" s="519"/>
      <c r="O83" s="192" t="str">
        <f t="shared" si="16"/>
        <v/>
      </c>
      <c r="P83" s="192" t="str">
        <f>IF(O83="","",SUM($O$76:O83)+$Z$46)</f>
        <v/>
      </c>
      <c r="Q83" s="192" t="str">
        <f t="shared" si="6"/>
        <v/>
      </c>
      <c r="R83" s="193" t="str">
        <f>IF(J83="Duplex",VLOOKUP(M83,'Características dos Cabos MX CH'!$C$12:$I$14,5),(IF(J83="Triplex",VLOOKUP(M83,'Características dos Cabos MX CH'!$C$15:$J$20,5),(IF(J83="Quadruplex",VLOOKUP(M83,'Características dos Cabos MX CH'!$C$21:$K$27,5),(IF(J83="13",VLOOKUP(M83,'Características dos Cabos MX CH'!$C$15:$L$20,5),"")))))))</f>
        <v/>
      </c>
      <c r="S83" s="193" t="str">
        <f>IF(J83="Duplex",VLOOKUP(M83,'Características dos Cabos MX CH'!$C$12:$I$14,6),(IF(J83="Triplex",VLOOKUP(M83,'Características dos Cabos MX CH'!$C$15:$J$20,6),(IF(J83="Quadruplex",VLOOKUP(M83,'Características dos Cabos MX CH'!$C$21:$K$27,6),(IF(J83="13",VLOOKUP(M83,'Características dos Cabos MX CH'!$C$15:$L$20,6),"")))))))</f>
        <v/>
      </c>
      <c r="T83" s="194" t="str">
        <f t="shared" si="13"/>
        <v/>
      </c>
      <c r="U83" s="447" t="str">
        <f>IF(J83="Duplex",VLOOKUP(M83,'Características dos Cabos MX CH'!$C$12:$I$14,2),(IF(J83="Triplex",VLOOKUP(M83,'Características dos Cabos MX CH'!$C$15:$J$20,2),(IF(J83="Quadruplex",VLOOKUP(M83,'Características dos Cabos MX CH'!$C$21:$K$27,2),(IF(J83="13",VLOOKUP(M83,'Características dos Cabos MX CH'!$C$15:$L$20,2),"")))))))</f>
        <v/>
      </c>
      <c r="V83" s="193" t="str">
        <f>IF(J83="Duplex",VLOOKUP(M83,'Características dos Cabos MX CH'!$C$12:$I$14,3),(IF(J83="Triplex",VLOOKUP(M83,'Características dos Cabos MX CH'!$C$15:$J$20,3),(IF(J83="Quadruplex",VLOOKUP(M83,'Características dos Cabos MX CH'!$C$21:$K$27,3),(IF(J83="13",VLOOKUP(M83,'Características dos Cabos MX CH'!$C$15:$L$20,3),"")))))))</f>
        <v/>
      </c>
      <c r="W83" s="195" t="str">
        <f t="shared" si="17"/>
        <v/>
      </c>
      <c r="X83" s="195" t="str">
        <f t="shared" si="18"/>
        <v/>
      </c>
      <c r="Y83" s="196" t="str">
        <f t="shared" si="19"/>
        <v/>
      </c>
      <c r="AA83" s="488">
        <f t="shared" si="20"/>
        <v>0</v>
      </c>
      <c r="AB83" s="488">
        <f t="shared" si="3"/>
        <v>0</v>
      </c>
      <c r="AC83" s="485"/>
      <c r="AE83" s="492" t="str">
        <f t="shared" si="11"/>
        <v/>
      </c>
      <c r="AF83" s="475">
        <f t="shared" si="15"/>
        <v>0</v>
      </c>
      <c r="AH83" s="420"/>
      <c r="AO83" s="401"/>
      <c r="AP83" s="413">
        <v>340</v>
      </c>
      <c r="AQ83" s="413">
        <v>2.97</v>
      </c>
      <c r="AR83" s="403"/>
    </row>
    <row r="84" spans="1:44" ht="15" customHeight="1">
      <c r="A84" s="696"/>
      <c r="B84" s="698"/>
      <c r="C84" s="515"/>
      <c r="D84" s="520"/>
      <c r="E84" s="522"/>
      <c r="F84" s="521" t="str">
        <f t="shared" si="22"/>
        <v/>
      </c>
      <c r="G84" s="518"/>
      <c r="H84" s="190" t="str">
        <f>IF(AND(E84="",G84=""),"",SUM(F84:G85))</f>
        <v/>
      </c>
      <c r="I84" s="191"/>
      <c r="J84" s="514"/>
      <c r="K84" s="514"/>
      <c r="L84" s="197" t="str">
        <f>IF(J84="Duplex",VLOOKUP(M84,'Características dos Cabos M EX'!$C$12:$I$14,7),(IF(J84="Triplex",VLOOKUP(M84,'Características dos Cabos M EX'!$C$15:$J$20,8),(IF(J84="Quadruplex",VLOOKUP(M84,'Características dos Cabos M EX'!$C$21:$K$27,9),(IF(J84="13",VLOOKUP(M84,'Características dos Cabos M EX'!$C$15:$L$20,10),"")))))))</f>
        <v/>
      </c>
      <c r="M84" s="350" t="str">
        <f t="shared" si="5"/>
        <v/>
      </c>
      <c r="N84" s="519"/>
      <c r="O84" s="192" t="str">
        <f t="shared" si="16"/>
        <v/>
      </c>
      <c r="P84" s="192" t="str">
        <f>IF(O84="","",SUM($O$76:O84)+$Z$46)</f>
        <v/>
      </c>
      <c r="Q84" s="192" t="str">
        <f t="shared" si="6"/>
        <v/>
      </c>
      <c r="R84" s="193" t="str">
        <f>IF(J84="Duplex",VLOOKUP(M84,'Características dos Cabos MX CH'!$C$12:$I$14,5),(IF(J84="Triplex",VLOOKUP(M84,'Características dos Cabos MX CH'!$C$15:$J$20,5),(IF(J84="Quadruplex",VLOOKUP(M84,'Características dos Cabos MX CH'!$C$21:$K$27,5),(IF(J84="13",VLOOKUP(M84,'Características dos Cabos MX CH'!$C$15:$L$20,5),"")))))))</f>
        <v/>
      </c>
      <c r="S84" s="193" t="str">
        <f>IF(J84="Duplex",VLOOKUP(M84,'Características dos Cabos MX CH'!$C$12:$I$14,6),(IF(J84="Triplex",VLOOKUP(M84,'Características dos Cabos MX CH'!$C$15:$J$20,6),(IF(J84="Quadruplex",VLOOKUP(M84,'Características dos Cabos MX CH'!$C$21:$K$27,6),(IF(J84="13",VLOOKUP(M84,'Características dos Cabos MX CH'!$C$15:$L$20,6),"")))))))</f>
        <v/>
      </c>
      <c r="T84" s="194" t="str">
        <f t="shared" si="13"/>
        <v/>
      </c>
      <c r="U84" s="447" t="str">
        <f>IF(J84="Duplex",VLOOKUP(M84,'Características dos Cabos MX CH'!$C$12:$I$14,2),(IF(J84="Triplex",VLOOKUP(M84,'Características dos Cabos MX CH'!$C$15:$J$20,2),(IF(J84="Quadruplex",VLOOKUP(M84,'Características dos Cabos MX CH'!$C$21:$K$27,2),(IF(J84="13",VLOOKUP(M84,'Características dos Cabos MX CH'!$C$15:$L$20,2),"")))))))</f>
        <v/>
      </c>
      <c r="V84" s="193" t="str">
        <f>IF(J84="Duplex",VLOOKUP(M84,'Características dos Cabos MX CH'!$C$12:$I$14,3),(IF(J84="Triplex",VLOOKUP(M84,'Características dos Cabos MX CH'!$C$15:$J$20,3),(IF(J84="Quadruplex",VLOOKUP(M84,'Características dos Cabos MX CH'!$C$21:$K$27,3),(IF(J84="13",VLOOKUP(M84,'Características dos Cabos MX CH'!$C$15:$L$20,3),"")))))))</f>
        <v/>
      </c>
      <c r="W84" s="195" t="str">
        <f t="shared" si="17"/>
        <v/>
      </c>
      <c r="X84" s="195" t="str">
        <f t="shared" si="18"/>
        <v/>
      </c>
      <c r="Y84" s="196" t="str">
        <f t="shared" si="19"/>
        <v/>
      </c>
      <c r="AA84" s="488">
        <f t="shared" si="20"/>
        <v>0</v>
      </c>
      <c r="AB84" s="488">
        <f t="shared" si="3"/>
        <v>0</v>
      </c>
      <c r="AC84" s="485"/>
      <c r="AE84" s="492" t="str">
        <f t="shared" si="11"/>
        <v/>
      </c>
      <c r="AF84" s="475">
        <f t="shared" si="15"/>
        <v>0</v>
      </c>
      <c r="AH84" s="420"/>
      <c r="AO84" s="401"/>
      <c r="AP84" s="413">
        <v>350</v>
      </c>
      <c r="AQ84" s="413">
        <v>3.02</v>
      </c>
      <c r="AR84" s="403"/>
    </row>
    <row r="85" spans="1:44" ht="15" customHeight="1" thickBot="1">
      <c r="A85" s="696"/>
      <c r="B85" s="699"/>
      <c r="C85" s="515"/>
      <c r="D85" s="524"/>
      <c r="E85" s="523"/>
      <c r="F85" s="526" t="str">
        <f t="shared" si="22"/>
        <v/>
      </c>
      <c r="G85" s="527"/>
      <c r="H85" s="200" t="str">
        <f>IF(AND(E85="",G85=""),"",SUM(F85:G85))</f>
        <v/>
      </c>
      <c r="I85" s="201"/>
      <c r="J85" s="528"/>
      <c r="K85" s="528"/>
      <c r="L85" s="202" t="str">
        <f>IF(J85="Duplex",VLOOKUP(M85,'Características dos Cabos M EX'!$C$12:$I$14,7),(IF(J85="Triplex",VLOOKUP(M85,'Características dos Cabos M EX'!$C$15:$J$20,8),(IF(J85="Quadruplex",VLOOKUP(M85,'Características dos Cabos M EX'!$C$21:$K$27,9),(IF(J85="13",VLOOKUP(M85,'Características dos Cabos M EX'!$C$15:$L$20,10),"")))))))</f>
        <v/>
      </c>
      <c r="M85" s="353" t="str">
        <f t="shared" si="5"/>
        <v/>
      </c>
      <c r="N85" s="529"/>
      <c r="O85" s="203" t="str">
        <f t="shared" si="16"/>
        <v/>
      </c>
      <c r="P85" s="203" t="str">
        <f>IF(O85="","",SUM($O$76:O85)+$Z$46)</f>
        <v/>
      </c>
      <c r="Q85" s="203" t="str">
        <f t="shared" si="6"/>
        <v/>
      </c>
      <c r="R85" s="204" t="str">
        <f>IF(J85="Duplex",VLOOKUP(M85,'Características dos Cabos MX CH'!$C$12:$I$14,5),(IF(J85="Triplex",VLOOKUP(M85,'Características dos Cabos MX CH'!$C$15:$J$20,5),(IF(J85="Quadruplex",VLOOKUP(M85,'Características dos Cabos MX CH'!$C$21:$K$27,5),(IF(J85="13",VLOOKUP(M85,'Características dos Cabos MX CH'!$C$15:$L$20,5),"")))))))</f>
        <v/>
      </c>
      <c r="S85" s="204" t="str">
        <f>IF(J85="Duplex",VLOOKUP(M85,'Características dos Cabos MX CH'!$C$12:$I$14,6),(IF(J85="Triplex",VLOOKUP(M85,'Características dos Cabos MX CH'!$C$15:$J$20,6),(IF(J85="Quadruplex",VLOOKUP(M85,'Características dos Cabos MX CH'!$C$21:$K$27,6),(IF(J85="13",VLOOKUP(M85,'Características dos Cabos MX CH'!$C$15:$L$20,6),"")))))))</f>
        <v/>
      </c>
      <c r="T85" s="205" t="str">
        <f t="shared" si="13"/>
        <v/>
      </c>
      <c r="U85" s="448" t="str">
        <f>IF(J85="Duplex",VLOOKUP(M85,'Características dos Cabos MX CH'!$C$12:$I$14,2),(IF(J85="Triplex",VLOOKUP(M85,'Características dos Cabos MX CH'!$C$15:$J$20,2),(IF(J85="Quadruplex",VLOOKUP(M85,'Características dos Cabos MX CH'!$C$21:$K$27,2),(IF(J85="13",VLOOKUP(M85,'Características dos Cabos MX CH'!$C$15:$L$20,2),"")))))))</f>
        <v/>
      </c>
      <c r="V85" s="204" t="str">
        <f>IF(J85="Duplex",VLOOKUP(M85,'Características dos Cabos MX CH'!$C$12:$I$14,3),(IF(J85="Triplex",VLOOKUP(M85,'Características dos Cabos MX CH'!$C$15:$J$20,3),(IF(J85="Quadruplex",VLOOKUP(M85,'Características dos Cabos MX CH'!$C$21:$K$27,3),(IF(J85="13",VLOOKUP(M85,'Características dos Cabos MX CH'!$C$15:$L$20,3),"")))))))</f>
        <v/>
      </c>
      <c r="W85" s="206" t="str">
        <f t="shared" si="17"/>
        <v/>
      </c>
      <c r="X85" s="206" t="str">
        <f t="shared" si="18"/>
        <v/>
      </c>
      <c r="Y85" s="207" t="str">
        <f t="shared" si="19"/>
        <v/>
      </c>
      <c r="AA85" s="488">
        <f t="shared" si="20"/>
        <v>0</v>
      </c>
      <c r="AB85" s="488">
        <f t="shared" si="3"/>
        <v>0</v>
      </c>
      <c r="AC85" s="485"/>
      <c r="AE85" s="492" t="str">
        <f t="shared" si="23" ref="AE85:AE148">IF(OR(E85="",$G$11=""),"",IF($G$11&gt;0,E85*$G$11*($J$11/100+1)^($J$15-1),E85*$E$11*($J$11/100+1)^($J$15-1)))</f>
        <v/>
      </c>
      <c r="AF85" s="475">
        <f t="shared" si="15"/>
        <v>0</v>
      </c>
      <c r="AH85" s="420"/>
      <c r="AO85" s="401"/>
      <c r="AP85" s="413">
        <v>360</v>
      </c>
      <c r="AQ85" s="413">
        <v>3.07</v>
      </c>
      <c r="AR85" s="403"/>
    </row>
    <row r="86" spans="1:44" ht="15" customHeight="1" thickTop="1">
      <c r="A86" s="696"/>
      <c r="B86" s="700" t="str">
        <f>CONCATENATE("Ramal 5 - Derivando no ponto ",C86)</f>
        <v xml:space="preserve">Ramal 5 - Derivando no ponto </v>
      </c>
      <c r="C86" s="532"/>
      <c r="D86" s="536"/>
      <c r="E86" s="537"/>
      <c r="F86" s="538" t="str">
        <f t="shared" si="22"/>
        <v/>
      </c>
      <c r="G86" s="539"/>
      <c r="H86" s="209" t="str">
        <f>IF(AND(E86="",G86=""),"",SUM(F86:G95))</f>
        <v/>
      </c>
      <c r="I86" s="210"/>
      <c r="J86" s="535"/>
      <c r="K86" s="535"/>
      <c r="L86" s="211" t="str">
        <f>IF(J86="Duplex",VLOOKUP(M86,'Características dos Cabos M EX'!$C$12:$I$14,7),(IF(J86="Triplex",VLOOKUP(M86,'Características dos Cabos M EX'!$C$15:$J$20,8),(IF(J86="Quadruplex",VLOOKUP(M86,'Características dos Cabos M EX'!$C$21:$K$27,9),(IF(J86="13",VLOOKUP(M86,'Características dos Cabos M EX'!$C$15:$L$20,10),"")))))))</f>
        <v/>
      </c>
      <c r="M86" s="354" t="str">
        <f t="shared" si="5"/>
        <v/>
      </c>
      <c r="N86" s="540"/>
      <c r="O86" s="212" t="str">
        <f t="shared" si="16"/>
        <v/>
      </c>
      <c r="P86" s="212" t="str">
        <f>IF(O86="","",O86+VLOOKUP(C86,$D$21:$Q$85,13,FALSE))</f>
        <v/>
      </c>
      <c r="Q86" s="212" t="str">
        <f t="shared" si="6"/>
        <v/>
      </c>
      <c r="R86" s="213" t="str">
        <f>IF(J86="Duplex",VLOOKUP(M86,'Características dos Cabos MX CH'!$C$12:$I$14,5),(IF(J86="Triplex",VLOOKUP(M86,'Características dos Cabos MX CH'!$C$15:$J$20,5),(IF(J86="Quadruplex",VLOOKUP(M86,'Características dos Cabos MX CH'!$C$21:$K$27,5),(IF(J86="13",VLOOKUP(M86,'Características dos Cabos MX CH'!$C$15:$L$20,5),"")))))))</f>
        <v/>
      </c>
      <c r="S86" s="213" t="str">
        <f>IF(J86="Duplex",VLOOKUP(M86,'Características dos Cabos MX CH'!$C$12:$I$14,6),(IF(J86="Triplex",VLOOKUP(M86,'Características dos Cabos MX CH'!$C$15:$J$20,6),(IF(J86="Quadruplex",VLOOKUP(M86,'Características dos Cabos MX CH'!$C$21:$K$27,6),(IF(J86="13",VLOOKUP(M86,'Características dos Cabos MX CH'!$C$15:$L$20,6),"")))))))</f>
        <v/>
      </c>
      <c r="T86" s="214" t="str">
        <f t="shared" si="13"/>
        <v/>
      </c>
      <c r="U86" s="450" t="str">
        <f>IF(J86="Duplex",VLOOKUP(M86,'Características dos Cabos MX CH'!$C$12:$I$14,2),(IF(J86="Triplex",VLOOKUP(M86,'Características dos Cabos MX CH'!$C$15:$J$20,2),(IF(J86="Quadruplex",VLOOKUP(M86,'Características dos Cabos MX CH'!$C$21:$K$27,2),(IF(J86="13",VLOOKUP(M86,'Características dos Cabos MX CH'!$C$15:$L$20,2),"")))))))</f>
        <v/>
      </c>
      <c r="V86" s="213" t="str">
        <f>IF(J86="Duplex",VLOOKUP(M86,'Características dos Cabos MX CH'!$C$12:$I$14,3),(IF(J86="Triplex",VLOOKUP(M86,'Características dos Cabos MX CH'!$C$15:$J$20,3),(IF(J86="Quadruplex",VLOOKUP(M86,'Características dos Cabos MX CH'!$C$21:$K$27,3),(IF(J86="13",VLOOKUP(M86,'Características dos Cabos MX CH'!$C$15:$L$20,3),"")))))))</f>
        <v/>
      </c>
      <c r="W86" s="215" t="str">
        <f t="shared" si="17"/>
        <v/>
      </c>
      <c r="X86" s="215" t="str">
        <f t="shared" si="18"/>
        <v/>
      </c>
      <c r="Y86" s="216" t="str">
        <f t="shared" si="19"/>
        <v/>
      </c>
      <c r="Z86" s="463" t="str">
        <f>IF(O86="","",VLOOKUP(C86,$D$21:$P$85,13,FALSE))</f>
        <v/>
      </c>
      <c r="AA86" s="488">
        <f t="shared" si="20"/>
        <v>0</v>
      </c>
      <c r="AB86" s="488">
        <f t="shared" si="3"/>
        <v>0</v>
      </c>
      <c r="AC86" s="485"/>
      <c r="AE86" s="492" t="str">
        <f t="shared" si="23"/>
        <v/>
      </c>
      <c r="AF86" s="475">
        <f t="shared" si="15"/>
        <v>0</v>
      </c>
      <c r="AH86" s="420"/>
      <c r="AO86" s="401"/>
      <c r="AP86" s="413">
        <v>370</v>
      </c>
      <c r="AQ86" s="413">
        <v>3.12</v>
      </c>
      <c r="AR86" s="403"/>
    </row>
    <row r="87" spans="1:44" ht="15" customHeight="1">
      <c r="A87" s="696"/>
      <c r="B87" s="698"/>
      <c r="C87" s="517"/>
      <c r="D87" s="520"/>
      <c r="E87" s="522"/>
      <c r="F87" s="521" t="str">
        <f t="shared" si="22"/>
        <v/>
      </c>
      <c r="G87" s="518"/>
      <c r="H87" s="190" t="str">
        <f>IF(AND(E87="",G87=""),"",SUM(F87:G95))</f>
        <v/>
      </c>
      <c r="I87" s="191"/>
      <c r="J87" s="514"/>
      <c r="K87" s="514"/>
      <c r="L87" s="197" t="str">
        <f>IF(J87="Duplex",VLOOKUP(M87,'Características dos Cabos M EX'!$C$12:$I$14,7),(IF(J87="Triplex",VLOOKUP(M87,'Características dos Cabos M EX'!$C$15:$J$20,8),(IF(J87="Quadruplex",VLOOKUP(M87,'Características dos Cabos M EX'!$C$21:$K$27,9),(IF(J87="13",VLOOKUP(M87,'Características dos Cabos M EX'!$C$15:$L$20,10),"")))))))</f>
        <v/>
      </c>
      <c r="M87" s="350" t="str">
        <f t="shared" si="24" ref="M87:M150">IF(K87=10,"a",IF(K87=16,"b",IF(K87=25,"c",IF(K87=35,"d",IF(K87=50,"e",(IF(K87=70,"f",(IF(K87=120,"g","")))))))))</f>
        <v/>
      </c>
      <c r="N87" s="519"/>
      <c r="O87" s="192" t="str">
        <f t="shared" si="16"/>
        <v/>
      </c>
      <c r="P87" s="192" t="str">
        <f>IF(O87="","",SUM($O86:O$87)+$Z$86)</f>
        <v/>
      </c>
      <c r="Q87" s="192" t="str">
        <f t="shared" si="25" ref="Q87:Q150">IF(H87="","",IF(J87="Quadruplex",H87*1000/($D$13*SQRT(3)),IF(J87="Triplex",H87*1000*SQRT(3)/($D$13*2),IF(J87="Duplex",H87*1000*SQRT(3)/$D$13,IF(J87="13",H87*1000/$D$15,IF(J87="12",H87*1000*2/$D$15,"erro"))))))</f>
        <v/>
      </c>
      <c r="R87" s="193" t="str">
        <f>IF(J87="Duplex",VLOOKUP(M87,'Características dos Cabos MX CH'!$C$12:$I$14,5),(IF(J87="Triplex",VLOOKUP(M87,'Características dos Cabos MX CH'!$C$15:$J$20,5),(IF(J87="Quadruplex",VLOOKUP(M87,'Características dos Cabos MX CH'!$C$21:$K$27,5),(IF(J87="13",VLOOKUP(M87,'Características dos Cabos MX CH'!$C$15:$L$20,5),"")))))))</f>
        <v/>
      </c>
      <c r="S87" s="193" t="str">
        <f>IF(J87="Duplex",VLOOKUP(M87,'Características dos Cabos MX CH'!$C$12:$I$14,6),(IF(J87="Triplex",VLOOKUP(M87,'Características dos Cabos MX CH'!$C$15:$J$20,6),(IF(J87="Quadruplex",VLOOKUP(M87,'Características dos Cabos MX CH'!$C$21:$K$27,6),(IF(J87="13",VLOOKUP(M87,'Características dos Cabos MX CH'!$C$15:$L$20,6),"")))))))</f>
        <v/>
      </c>
      <c r="T87" s="194" t="str">
        <f t="shared" si="13"/>
        <v/>
      </c>
      <c r="U87" s="447" t="str">
        <f>IF(J87="Duplex",VLOOKUP(M87,'Características dos Cabos MX CH'!$C$12:$I$14,2),(IF(J87="Triplex",VLOOKUP(M87,'Características dos Cabos MX CH'!$C$15:$J$20,2),(IF(J87="Quadruplex",VLOOKUP(M87,'Características dos Cabos MX CH'!$C$21:$K$27,2),(IF(J87="13",VLOOKUP(M87,'Características dos Cabos MX CH'!$C$15:$L$20,2),"")))))))</f>
        <v/>
      </c>
      <c r="V87" s="193" t="str">
        <f>IF(J87="Duplex",VLOOKUP(M87,'Características dos Cabos MX CH'!$C$12:$I$14,3),(IF(J87="Triplex",VLOOKUP(M87,'Características dos Cabos MX CH'!$C$15:$J$20,3),(IF(J87="Quadruplex",VLOOKUP(M87,'Características dos Cabos MX CH'!$C$21:$K$27,3),(IF(J87="13",VLOOKUP(M87,'Características dos Cabos MX CH'!$C$15:$L$20,3),"")))))))</f>
        <v/>
      </c>
      <c r="W87" s="195" t="str">
        <f t="shared" si="17"/>
        <v/>
      </c>
      <c r="X87" s="195" t="str">
        <f t="shared" si="18"/>
        <v/>
      </c>
      <c r="Y87" s="196" t="str">
        <f t="shared" si="19"/>
        <v/>
      </c>
      <c r="AA87" s="488">
        <f t="shared" si="20"/>
        <v>0</v>
      </c>
      <c r="AB87" s="488">
        <f t="shared" si="26" ref="AB87:AB150">K87</f>
        <v>0</v>
      </c>
      <c r="AC87" s="485"/>
      <c r="AE87" s="492" t="str">
        <f t="shared" si="23"/>
        <v/>
      </c>
      <c r="AF87" s="475">
        <f t="shared" si="15"/>
        <v>0</v>
      </c>
      <c r="AH87" s="420"/>
      <c r="AO87" s="401"/>
      <c r="AP87" s="413">
        <v>380</v>
      </c>
      <c r="AQ87" s="413">
        <v>3.17</v>
      </c>
      <c r="AR87" s="403"/>
    </row>
    <row r="88" spans="1:44" ht="15" customHeight="1">
      <c r="A88" s="696"/>
      <c r="B88" s="698"/>
      <c r="C88" s="517"/>
      <c r="D88" s="520"/>
      <c r="E88" s="522"/>
      <c r="F88" s="521" t="str">
        <f t="shared" si="22"/>
        <v/>
      </c>
      <c r="G88" s="518"/>
      <c r="H88" s="190" t="str">
        <f>IF(AND(E88="",G88=""),"",SUM(F88:G95))</f>
        <v/>
      </c>
      <c r="I88" s="191"/>
      <c r="J88" s="514"/>
      <c r="K88" s="514"/>
      <c r="L88" s="197" t="str">
        <f>IF(J88="Duplex",VLOOKUP(M88,'Características dos Cabos M EX'!$C$12:$I$14,7),(IF(J88="Triplex",VLOOKUP(M88,'Características dos Cabos M EX'!$C$15:$J$20,8),(IF(J88="Quadruplex",VLOOKUP(M88,'Características dos Cabos M EX'!$C$21:$K$27,9),(IF(J88="13",VLOOKUP(M88,'Características dos Cabos M EX'!$C$15:$L$20,10),"")))))))</f>
        <v/>
      </c>
      <c r="M88" s="350" t="str">
        <f t="shared" si="24"/>
        <v/>
      </c>
      <c r="N88" s="519"/>
      <c r="O88" s="192" t="str">
        <f t="shared" si="16"/>
        <v/>
      </c>
      <c r="P88" s="192" t="str">
        <f>IF(O88="","",SUM($O86:O$88)+$Z$86)</f>
        <v/>
      </c>
      <c r="Q88" s="192" t="str">
        <f t="shared" si="25"/>
        <v/>
      </c>
      <c r="R88" s="193" t="str">
        <f>IF(J88="Duplex",VLOOKUP(M88,'Características dos Cabos MX CH'!$C$12:$I$14,5),(IF(J88="Triplex",VLOOKUP(M88,'Características dos Cabos MX CH'!$C$15:$J$20,5),(IF(J88="Quadruplex",VLOOKUP(M88,'Características dos Cabos MX CH'!$C$21:$K$27,5),(IF(J88="13",VLOOKUP(M88,'Características dos Cabos MX CH'!$C$15:$L$20,5),"")))))))</f>
        <v/>
      </c>
      <c r="S88" s="193" t="str">
        <f>IF(J88="Duplex",VLOOKUP(M88,'Características dos Cabos MX CH'!$C$12:$I$14,6),(IF(J88="Triplex",VLOOKUP(M88,'Características dos Cabos MX CH'!$C$15:$J$20,6),(IF(J88="Quadruplex",VLOOKUP(M88,'Características dos Cabos MX CH'!$C$21:$K$27,6),(IF(J88="13",VLOOKUP(M88,'Características dos Cabos MX CH'!$C$15:$L$20,6),"")))))))</f>
        <v/>
      </c>
      <c r="T88" s="194" t="str">
        <f t="shared" si="13"/>
        <v/>
      </c>
      <c r="U88" s="447" t="str">
        <f>IF(J88="Duplex",VLOOKUP(M88,'Características dos Cabos MX CH'!$C$12:$I$14,2),(IF(J88="Triplex",VLOOKUP(M88,'Características dos Cabos MX CH'!$C$15:$J$20,2),(IF(J88="Quadruplex",VLOOKUP(M88,'Características dos Cabos MX CH'!$C$21:$K$27,2),(IF(J88="13",VLOOKUP(M88,'Características dos Cabos MX CH'!$C$15:$L$20,2),"")))))))</f>
        <v/>
      </c>
      <c r="V88" s="193" t="str">
        <f>IF(J88="Duplex",VLOOKUP(M88,'Características dos Cabos MX CH'!$C$12:$I$14,3),(IF(J88="Triplex",VLOOKUP(M88,'Características dos Cabos MX CH'!$C$15:$J$20,3),(IF(J88="Quadruplex",VLOOKUP(M88,'Características dos Cabos MX CH'!$C$21:$K$27,3),(IF(J88="13",VLOOKUP(M88,'Características dos Cabos MX CH'!$C$15:$L$20,3),"")))))))</f>
        <v/>
      </c>
      <c r="W88" s="195" t="str">
        <f t="shared" si="17"/>
        <v/>
      </c>
      <c r="X88" s="195" t="str">
        <f t="shared" si="18"/>
        <v/>
      </c>
      <c r="Y88" s="196" t="str">
        <f t="shared" si="19"/>
        <v/>
      </c>
      <c r="AA88" s="488">
        <f t="shared" si="20"/>
        <v>0</v>
      </c>
      <c r="AB88" s="488">
        <f t="shared" si="26"/>
        <v>0</v>
      </c>
      <c r="AC88" s="485"/>
      <c r="AE88" s="492" t="str">
        <f t="shared" si="23"/>
        <v/>
      </c>
      <c r="AF88" s="475">
        <f t="shared" si="15"/>
        <v>0</v>
      </c>
      <c r="AH88" s="420"/>
      <c r="AO88" s="401"/>
      <c r="AP88" s="413">
        <v>390</v>
      </c>
      <c r="AQ88" s="413">
        <v>3.22</v>
      </c>
      <c r="AR88" s="403"/>
    </row>
    <row r="89" spans="1:44" ht="15" customHeight="1">
      <c r="A89" s="696"/>
      <c r="B89" s="698"/>
      <c r="C89" s="517"/>
      <c r="D89" s="520"/>
      <c r="E89" s="522"/>
      <c r="F89" s="521" t="str">
        <f t="shared" si="22"/>
        <v/>
      </c>
      <c r="G89" s="518"/>
      <c r="H89" s="190" t="str">
        <f>IF(AND(E89="",G89=""),"",SUM(F89:G95))</f>
        <v/>
      </c>
      <c r="I89" s="191"/>
      <c r="J89" s="514"/>
      <c r="K89" s="514"/>
      <c r="L89" s="197" t="str">
        <f>IF(J89="Duplex",VLOOKUP(M89,'Características dos Cabos M EX'!$C$12:$I$14,7),(IF(J89="Triplex",VLOOKUP(M89,'Características dos Cabos M EX'!$C$15:$J$20,8),(IF(J89="Quadruplex",VLOOKUP(M89,'Características dos Cabos M EX'!$C$21:$K$27,9),(IF(J89="13",VLOOKUP(M89,'Características dos Cabos M EX'!$C$15:$L$20,10),"")))))))</f>
        <v/>
      </c>
      <c r="M89" s="350" t="str">
        <f t="shared" si="24"/>
        <v/>
      </c>
      <c r="N89" s="519"/>
      <c r="O89" s="192" t="str">
        <f t="shared" si="16"/>
        <v/>
      </c>
      <c r="P89" s="192" t="str">
        <f>IF(O89="","",SUM($O86:O$89)+$Z$86)</f>
        <v/>
      </c>
      <c r="Q89" s="192" t="str">
        <f t="shared" si="25"/>
        <v/>
      </c>
      <c r="R89" s="193" t="str">
        <f>IF(J89="Duplex",VLOOKUP(M89,'Características dos Cabos MX CH'!$C$12:$I$14,5),(IF(J89="Triplex",VLOOKUP(M89,'Características dos Cabos MX CH'!$C$15:$J$20,5),(IF(J89="Quadruplex",VLOOKUP(M89,'Características dos Cabos MX CH'!$C$21:$K$27,5),(IF(J89="13",VLOOKUP(M89,'Características dos Cabos MX CH'!$C$15:$L$20,5),"")))))))</f>
        <v/>
      </c>
      <c r="S89" s="193" t="str">
        <f>IF(J89="Duplex",VLOOKUP(M89,'Características dos Cabos MX CH'!$C$12:$I$14,6),(IF(J89="Triplex",VLOOKUP(M89,'Características dos Cabos MX CH'!$C$15:$J$20,6),(IF(J89="Quadruplex",VLOOKUP(M89,'Características dos Cabos MX CH'!$C$21:$K$27,6),(IF(J89="13",VLOOKUP(M89,'Características dos Cabos MX CH'!$C$15:$L$20,6),"")))))))</f>
        <v/>
      </c>
      <c r="T89" s="194" t="str">
        <f t="shared" si="13"/>
        <v/>
      </c>
      <c r="U89" s="447" t="str">
        <f>IF(J89="Duplex",VLOOKUP(M89,'Características dos Cabos MX CH'!$C$12:$I$14,2),(IF(J89="Triplex",VLOOKUP(M89,'Características dos Cabos MX CH'!$C$15:$J$20,2),(IF(J89="Quadruplex",VLOOKUP(M89,'Características dos Cabos MX CH'!$C$21:$K$27,2),(IF(J89="13",VLOOKUP(M89,'Características dos Cabos MX CH'!$C$15:$L$20,2),"")))))))</f>
        <v/>
      </c>
      <c r="V89" s="193" t="str">
        <f>IF(J89="Duplex",VLOOKUP(M89,'Características dos Cabos MX CH'!$C$12:$I$14,3),(IF(J89="Triplex",VLOOKUP(M89,'Características dos Cabos MX CH'!$C$15:$J$20,3),(IF(J89="Quadruplex",VLOOKUP(M89,'Características dos Cabos MX CH'!$C$21:$K$27,3),(IF(J89="13",VLOOKUP(M89,'Características dos Cabos MX CH'!$C$15:$L$20,3),"")))))))</f>
        <v/>
      </c>
      <c r="W89" s="195" t="str">
        <f t="shared" si="17"/>
        <v/>
      </c>
      <c r="X89" s="195" t="str">
        <f t="shared" si="18"/>
        <v/>
      </c>
      <c r="Y89" s="196" t="str">
        <f t="shared" si="19"/>
        <v/>
      </c>
      <c r="AA89" s="488">
        <f t="shared" si="20"/>
        <v>0</v>
      </c>
      <c r="AB89" s="488">
        <f t="shared" si="26"/>
        <v>0</v>
      </c>
      <c r="AC89" s="485"/>
      <c r="AE89" s="492" t="str">
        <f t="shared" si="23"/>
        <v/>
      </c>
      <c r="AF89" s="475">
        <f t="shared" si="15"/>
        <v>0</v>
      </c>
      <c r="AO89" s="401"/>
      <c r="AP89" s="413">
        <v>400</v>
      </c>
      <c r="AQ89" s="413">
        <v>3.27</v>
      </c>
      <c r="AR89" s="403"/>
    </row>
    <row r="90" spans="1:44" ht="15" customHeight="1">
      <c r="A90" s="696"/>
      <c r="B90" s="698"/>
      <c r="C90" s="517"/>
      <c r="D90" s="520"/>
      <c r="E90" s="522"/>
      <c r="F90" s="521" t="str">
        <f t="shared" si="22"/>
        <v/>
      </c>
      <c r="G90" s="518"/>
      <c r="H90" s="190" t="str">
        <f>IF(AND(E90="",G90=""),"",SUM(F90:G95))</f>
        <v/>
      </c>
      <c r="I90" s="191"/>
      <c r="J90" s="514"/>
      <c r="K90" s="514"/>
      <c r="L90" s="197" t="str">
        <f>IF(J90="Duplex",VLOOKUP(M90,'Características dos Cabos M EX'!$C$12:$I$14,7),(IF(J90="Triplex",VLOOKUP(M90,'Características dos Cabos M EX'!$C$15:$J$20,8),(IF(J90="Quadruplex",VLOOKUP(M90,'Características dos Cabos M EX'!$C$21:$K$27,9),(IF(J90="13",VLOOKUP(M90,'Características dos Cabos M EX'!$C$15:$L$20,10),"")))))))</f>
        <v/>
      </c>
      <c r="M90" s="350" t="str">
        <f t="shared" si="24"/>
        <v/>
      </c>
      <c r="N90" s="519"/>
      <c r="O90" s="192" t="str">
        <f t="shared" si="16"/>
        <v/>
      </c>
      <c r="P90" s="192" t="str">
        <f>IF(O90="","",SUM($O$86:O90)+$Z$86)</f>
        <v/>
      </c>
      <c r="Q90" s="192" t="str">
        <f t="shared" si="25"/>
        <v/>
      </c>
      <c r="R90" s="193" t="str">
        <f>IF(J90="Duplex",VLOOKUP(M90,'Características dos Cabos MX CH'!$C$12:$I$14,5),(IF(J90="Triplex",VLOOKUP(M90,'Características dos Cabos MX CH'!$C$15:$J$20,5),(IF(J90="Quadruplex",VLOOKUP(M90,'Características dos Cabos MX CH'!$C$21:$K$27,5),(IF(J90="13",VLOOKUP(M90,'Características dos Cabos MX CH'!$C$15:$L$20,5),"")))))))</f>
        <v/>
      </c>
      <c r="S90" s="193" t="str">
        <f>IF(J90="Duplex",VLOOKUP(M90,'Características dos Cabos MX CH'!$C$12:$I$14,6),(IF(J90="Triplex",VLOOKUP(M90,'Características dos Cabos MX CH'!$C$15:$J$20,6),(IF(J90="Quadruplex",VLOOKUP(M90,'Características dos Cabos MX CH'!$C$21:$K$27,6),(IF(J90="13",VLOOKUP(M90,'Características dos Cabos MX CH'!$C$15:$L$20,6),"")))))))</f>
        <v/>
      </c>
      <c r="T90" s="194" t="str">
        <f t="shared" si="13"/>
        <v/>
      </c>
      <c r="U90" s="447" t="str">
        <f>IF(J90="Duplex",VLOOKUP(M90,'Características dos Cabos MX CH'!$C$12:$I$14,2),(IF(J90="Triplex",VLOOKUP(M90,'Características dos Cabos MX CH'!$C$15:$J$20,2),(IF(J90="Quadruplex",VLOOKUP(M90,'Características dos Cabos MX CH'!$C$21:$K$27,2),(IF(J90="13",VLOOKUP(M90,'Características dos Cabos MX CH'!$C$15:$L$20,2),"")))))))</f>
        <v/>
      </c>
      <c r="V90" s="193" t="str">
        <f>IF(J90="Duplex",VLOOKUP(M90,'Características dos Cabos MX CH'!$C$12:$I$14,3),(IF(J90="Triplex",VLOOKUP(M90,'Características dos Cabos MX CH'!$C$15:$J$20,3),(IF(J90="Quadruplex",VLOOKUP(M90,'Características dos Cabos MX CH'!$C$21:$K$27,3),(IF(J90="13",VLOOKUP(M90,'Características dos Cabos MX CH'!$C$15:$L$20,3),"")))))))</f>
        <v/>
      </c>
      <c r="W90" s="195" t="str">
        <f t="shared" si="17"/>
        <v/>
      </c>
      <c r="X90" s="195" t="str">
        <f t="shared" si="18"/>
        <v/>
      </c>
      <c r="Y90" s="196" t="str">
        <f t="shared" si="19"/>
        <v/>
      </c>
      <c r="AA90" s="488">
        <f t="shared" si="20"/>
        <v>0</v>
      </c>
      <c r="AB90" s="488">
        <f t="shared" si="26"/>
        <v>0</v>
      </c>
      <c r="AC90" s="485"/>
      <c r="AE90" s="492" t="str">
        <f t="shared" si="23"/>
        <v/>
      </c>
      <c r="AF90" s="475">
        <f t="shared" si="15"/>
        <v>0</v>
      </c>
      <c r="AO90" s="401"/>
      <c r="AP90" s="413">
        <v>410</v>
      </c>
      <c r="AQ90" s="413">
        <v>3.32</v>
      </c>
      <c r="AR90" s="403"/>
    </row>
    <row r="91" spans="1:44" ht="15" customHeight="1">
      <c r="A91" s="696"/>
      <c r="B91" s="698"/>
      <c r="C91" s="517"/>
      <c r="D91" s="520"/>
      <c r="E91" s="522"/>
      <c r="F91" s="521" t="str">
        <f t="shared" si="22"/>
        <v/>
      </c>
      <c r="G91" s="518"/>
      <c r="H91" s="190" t="str">
        <f>IF(AND(E91="",G91=""),"",SUM(F91:G95))</f>
        <v/>
      </c>
      <c r="I91" s="191"/>
      <c r="J91" s="514"/>
      <c r="K91" s="514"/>
      <c r="L91" s="197" t="str">
        <f>IF(J91="Duplex",VLOOKUP(M91,'Características dos Cabos M EX'!$C$12:$I$14,7),(IF(J91="Triplex",VLOOKUP(M91,'Características dos Cabos M EX'!$C$15:$J$20,8),(IF(J91="Quadruplex",VLOOKUP(M91,'Características dos Cabos M EX'!$C$21:$K$27,9),(IF(J91="13",VLOOKUP(M91,'Características dos Cabos M EX'!$C$15:$L$20,10),"")))))))</f>
        <v/>
      </c>
      <c r="M91" s="350" t="str">
        <f t="shared" si="24"/>
        <v/>
      </c>
      <c r="N91" s="519"/>
      <c r="O91" s="192" t="str">
        <f t="shared" si="16"/>
        <v/>
      </c>
      <c r="P91" s="192" t="str">
        <f>IF(O91="","",SUM($O$86:O91)+$Z$86)</f>
        <v/>
      </c>
      <c r="Q91" s="192" t="str">
        <f t="shared" si="25"/>
        <v/>
      </c>
      <c r="R91" s="193" t="str">
        <f>IF(J91="Duplex",VLOOKUP(M91,'Características dos Cabos MX CH'!$C$12:$I$14,5),(IF(J91="Triplex",VLOOKUP(M91,'Características dos Cabos MX CH'!$C$15:$J$20,5),(IF(J91="Quadruplex",VLOOKUP(M91,'Características dos Cabos MX CH'!$C$21:$K$27,5),(IF(J91="13",VLOOKUP(M91,'Características dos Cabos MX CH'!$C$15:$L$20,5),"")))))))</f>
        <v/>
      </c>
      <c r="S91" s="193" t="str">
        <f>IF(J91="Duplex",VLOOKUP(M91,'Características dos Cabos MX CH'!$C$12:$I$14,6),(IF(J91="Triplex",VLOOKUP(M91,'Características dos Cabos MX CH'!$C$15:$J$20,6),(IF(J91="Quadruplex",VLOOKUP(M91,'Características dos Cabos MX CH'!$C$21:$K$27,6),(IF(J91="13",VLOOKUP(M91,'Características dos Cabos MX CH'!$C$15:$L$20,6),"")))))))</f>
        <v/>
      </c>
      <c r="T91" s="194" t="str">
        <f t="shared" si="13"/>
        <v/>
      </c>
      <c r="U91" s="447" t="str">
        <f>IF(J91="Duplex",VLOOKUP(M91,'Características dos Cabos MX CH'!$C$12:$I$14,2),(IF(J91="Triplex",VLOOKUP(M91,'Características dos Cabos MX CH'!$C$15:$J$20,2),(IF(J91="Quadruplex",VLOOKUP(M91,'Características dos Cabos MX CH'!$C$21:$K$27,2),(IF(J91="13",VLOOKUP(M91,'Características dos Cabos MX CH'!$C$15:$L$20,2),"")))))))</f>
        <v/>
      </c>
      <c r="V91" s="193" t="str">
        <f>IF(J91="Duplex",VLOOKUP(M91,'Características dos Cabos MX CH'!$C$12:$I$14,3),(IF(J91="Triplex",VLOOKUP(M91,'Características dos Cabos MX CH'!$C$15:$J$20,3),(IF(J91="Quadruplex",VLOOKUP(M91,'Características dos Cabos MX CH'!$C$21:$K$27,3),(IF(J91="13",VLOOKUP(M91,'Características dos Cabos MX CH'!$C$15:$L$20,3),"")))))))</f>
        <v/>
      </c>
      <c r="W91" s="195" t="str">
        <f t="shared" si="17"/>
        <v/>
      </c>
      <c r="X91" s="195" t="str">
        <f t="shared" si="18"/>
        <v/>
      </c>
      <c r="Y91" s="196" t="str">
        <f t="shared" si="19"/>
        <v/>
      </c>
      <c r="AA91" s="488">
        <f t="shared" si="20"/>
        <v>0</v>
      </c>
      <c r="AB91" s="488">
        <f t="shared" si="26"/>
        <v>0</v>
      </c>
      <c r="AC91" s="485"/>
      <c r="AE91" s="492" t="str">
        <f t="shared" si="23"/>
        <v/>
      </c>
      <c r="AF91" s="475">
        <f t="shared" si="15"/>
        <v>0</v>
      </c>
      <c r="AO91" s="401"/>
      <c r="AP91" s="413">
        <v>420</v>
      </c>
      <c r="AQ91" s="413">
        <v>3.37</v>
      </c>
      <c r="AR91" s="403"/>
    </row>
    <row r="92" spans="1:44" ht="15" customHeight="1">
      <c r="A92" s="696"/>
      <c r="B92" s="698"/>
      <c r="C92" s="517"/>
      <c r="D92" s="520"/>
      <c r="E92" s="522"/>
      <c r="F92" s="521" t="str">
        <f t="shared" si="22"/>
        <v/>
      </c>
      <c r="G92" s="518"/>
      <c r="H92" s="190" t="str">
        <f>IF(AND(E92="",G92=""),"",SUM(F92:G95))</f>
        <v/>
      </c>
      <c r="I92" s="191"/>
      <c r="J92" s="514"/>
      <c r="K92" s="514"/>
      <c r="L92" s="197" t="str">
        <f>IF(J92="Duplex",VLOOKUP(M92,'Características dos Cabos M EX'!$C$12:$I$14,7),(IF(J92="Triplex",VLOOKUP(M92,'Características dos Cabos M EX'!$C$15:$J$20,8),(IF(J92="Quadruplex",VLOOKUP(M92,'Características dos Cabos M EX'!$C$21:$K$27,9),(IF(J92="13",VLOOKUP(M92,'Características dos Cabos M EX'!$C$15:$L$20,10),"")))))))</f>
        <v/>
      </c>
      <c r="M92" s="350" t="str">
        <f t="shared" si="24"/>
        <v/>
      </c>
      <c r="N92" s="519"/>
      <c r="O92" s="192" t="str">
        <f t="shared" si="16"/>
        <v/>
      </c>
      <c r="P92" s="192" t="str">
        <f>IF(O92="","",SUM($O86:O$92)+$Z$86)</f>
        <v/>
      </c>
      <c r="Q92" s="192" t="str">
        <f t="shared" si="25"/>
        <v/>
      </c>
      <c r="R92" s="193" t="str">
        <f>IF(J92="Duplex",VLOOKUP(M92,'Características dos Cabos MX CH'!$C$12:$I$14,5),(IF(J92="Triplex",VLOOKUP(M92,'Características dos Cabos MX CH'!$C$15:$J$20,5),(IF(J92="Quadruplex",VLOOKUP(M92,'Características dos Cabos MX CH'!$C$21:$K$27,5),(IF(J92="13",VLOOKUP(M92,'Características dos Cabos MX CH'!$C$15:$L$20,5),"")))))))</f>
        <v/>
      </c>
      <c r="S92" s="193" t="str">
        <f>IF(J92="Duplex",VLOOKUP(M92,'Características dos Cabos MX CH'!$C$12:$I$14,6),(IF(J92="Triplex",VLOOKUP(M92,'Características dos Cabos MX CH'!$C$15:$J$20,6),(IF(J92="Quadruplex",VLOOKUP(M92,'Características dos Cabos MX CH'!$C$21:$K$27,6),(IF(J92="13",VLOOKUP(M92,'Características dos Cabos MX CH'!$C$15:$L$20,6),"")))))))</f>
        <v/>
      </c>
      <c r="T92" s="194" t="str">
        <f t="shared" si="13"/>
        <v/>
      </c>
      <c r="U92" s="447" t="str">
        <f>IF(J92="Duplex",VLOOKUP(M92,'Características dos Cabos MX CH'!$C$12:$I$14,2),(IF(J92="Triplex",VLOOKUP(M92,'Características dos Cabos MX CH'!$C$15:$J$20,2),(IF(J92="Quadruplex",VLOOKUP(M92,'Características dos Cabos MX CH'!$C$21:$K$27,2),(IF(J92="13",VLOOKUP(M92,'Características dos Cabos MX CH'!$C$15:$L$20,2),"")))))))</f>
        <v/>
      </c>
      <c r="V92" s="193" t="str">
        <f>IF(J92="Duplex",VLOOKUP(M92,'Características dos Cabos MX CH'!$C$12:$I$14,3),(IF(J92="Triplex",VLOOKUP(M92,'Características dos Cabos MX CH'!$C$15:$J$20,3),(IF(J92="Quadruplex",VLOOKUP(M92,'Características dos Cabos MX CH'!$C$21:$K$27,3),(IF(J92="13",VLOOKUP(M92,'Características dos Cabos MX CH'!$C$15:$L$20,3),"")))))))</f>
        <v/>
      </c>
      <c r="W92" s="195" t="str">
        <f t="shared" si="17"/>
        <v/>
      </c>
      <c r="X92" s="195" t="str">
        <f t="shared" si="18"/>
        <v/>
      </c>
      <c r="Y92" s="196" t="str">
        <f t="shared" si="19"/>
        <v/>
      </c>
      <c r="AA92" s="488">
        <f t="shared" si="20"/>
        <v>0</v>
      </c>
      <c r="AB92" s="488">
        <f t="shared" si="26"/>
        <v>0</v>
      </c>
      <c r="AC92" s="485"/>
      <c r="AE92" s="492" t="str">
        <f t="shared" si="23"/>
        <v/>
      </c>
      <c r="AF92" s="475">
        <f t="shared" si="15"/>
        <v>0</v>
      </c>
      <c r="AO92" s="401"/>
      <c r="AP92" s="413">
        <v>430</v>
      </c>
      <c r="AQ92" s="413">
        <v>3.42</v>
      </c>
      <c r="AR92" s="403"/>
    </row>
    <row r="93" spans="1:44" ht="15" customHeight="1">
      <c r="A93" s="696"/>
      <c r="B93" s="698"/>
      <c r="C93" s="517"/>
      <c r="D93" s="520"/>
      <c r="E93" s="522"/>
      <c r="F93" s="521" t="str">
        <f t="shared" si="22"/>
        <v/>
      </c>
      <c r="G93" s="518"/>
      <c r="H93" s="190" t="str">
        <f>IF(AND(E93="",G93=""),"",SUM(F93:G95))</f>
        <v/>
      </c>
      <c r="I93" s="191"/>
      <c r="J93" s="514"/>
      <c r="K93" s="514"/>
      <c r="L93" s="197" t="str">
        <f>IF(J93="Duplex",VLOOKUP(M93,'Características dos Cabos M EX'!$C$12:$I$14,7),(IF(J93="Triplex",VLOOKUP(M93,'Características dos Cabos M EX'!$C$15:$J$20,8),(IF(J93="Quadruplex",VLOOKUP(M93,'Características dos Cabos M EX'!$C$21:$K$27,9),(IF(J93="13",VLOOKUP(M93,'Características dos Cabos M EX'!$C$15:$L$20,10),"")))))))</f>
        <v/>
      </c>
      <c r="M93" s="350" t="str">
        <f t="shared" si="24"/>
        <v/>
      </c>
      <c r="N93" s="519"/>
      <c r="O93" s="192" t="str">
        <f t="shared" si="16"/>
        <v/>
      </c>
      <c r="P93" s="192" t="str">
        <f>IF(O93="","",SUM($O$86:O93)+$Z$86)</f>
        <v/>
      </c>
      <c r="Q93" s="192" t="str">
        <f t="shared" si="25"/>
        <v/>
      </c>
      <c r="R93" s="193" t="str">
        <f>IF(J93="Duplex",VLOOKUP(M93,'Características dos Cabos MX CH'!$C$12:$I$14,5),(IF(J93="Triplex",VLOOKUP(M93,'Características dos Cabos MX CH'!$C$15:$J$20,5),(IF(J93="Quadruplex",VLOOKUP(M93,'Características dos Cabos MX CH'!$C$21:$K$27,5),(IF(J93="13",VLOOKUP(M93,'Características dos Cabos MX CH'!$C$15:$L$20,5),"")))))))</f>
        <v/>
      </c>
      <c r="S93" s="193" t="str">
        <f>IF(J93="Duplex",VLOOKUP(M93,'Características dos Cabos MX CH'!$C$12:$I$14,6),(IF(J93="Triplex",VLOOKUP(M93,'Características dos Cabos MX CH'!$C$15:$J$20,6),(IF(J93="Quadruplex",VLOOKUP(M93,'Características dos Cabos MX CH'!$C$21:$K$27,6),(IF(J93="13",VLOOKUP(M93,'Características dos Cabos MX CH'!$C$15:$L$20,6),"")))))))</f>
        <v/>
      </c>
      <c r="T93" s="194" t="str">
        <f t="shared" si="13"/>
        <v/>
      </c>
      <c r="U93" s="447" t="str">
        <f>IF(J93="Duplex",VLOOKUP(M93,'Características dos Cabos MX CH'!$C$12:$I$14,2),(IF(J93="Triplex",VLOOKUP(M93,'Características dos Cabos MX CH'!$C$15:$J$20,2),(IF(J93="Quadruplex",VLOOKUP(M93,'Características dos Cabos MX CH'!$C$21:$K$27,2),(IF(J93="13",VLOOKUP(M93,'Características dos Cabos MX CH'!$C$15:$L$20,2),"")))))))</f>
        <v/>
      </c>
      <c r="V93" s="193" t="str">
        <f>IF(J93="Duplex",VLOOKUP(M93,'Características dos Cabos MX CH'!$C$12:$I$14,3),(IF(J93="Triplex",VLOOKUP(M93,'Características dos Cabos MX CH'!$C$15:$J$20,3),(IF(J93="Quadruplex",VLOOKUP(M93,'Características dos Cabos MX CH'!$C$21:$K$27,3),(IF(J93="13",VLOOKUP(M93,'Características dos Cabos MX CH'!$C$15:$L$20,3),"")))))))</f>
        <v/>
      </c>
      <c r="W93" s="195" t="str">
        <f t="shared" si="17"/>
        <v/>
      </c>
      <c r="X93" s="195" t="str">
        <f t="shared" si="18"/>
        <v/>
      </c>
      <c r="Y93" s="196" t="str">
        <f t="shared" si="19"/>
        <v/>
      </c>
      <c r="AA93" s="488">
        <f t="shared" si="20"/>
        <v>0</v>
      </c>
      <c r="AB93" s="488">
        <f t="shared" si="26"/>
        <v>0</v>
      </c>
      <c r="AC93" s="485"/>
      <c r="AE93" s="492" t="str">
        <f t="shared" si="23"/>
        <v/>
      </c>
      <c r="AF93" s="475">
        <f t="shared" si="15"/>
        <v>0</v>
      </c>
      <c r="AO93" s="401"/>
      <c r="AP93" s="413">
        <v>440</v>
      </c>
      <c r="AQ93" s="413">
        <v>3.47</v>
      </c>
      <c r="AR93" s="403"/>
    </row>
    <row r="94" spans="1:44" ht="15" customHeight="1">
      <c r="A94" s="696"/>
      <c r="B94" s="698"/>
      <c r="C94" s="517"/>
      <c r="D94" s="520"/>
      <c r="E94" s="522"/>
      <c r="F94" s="521" t="str">
        <f t="shared" si="22"/>
        <v/>
      </c>
      <c r="G94" s="518"/>
      <c r="H94" s="190" t="str">
        <f>IF(AND(E94="",G94=""),"",SUM(F94:G95))</f>
        <v/>
      </c>
      <c r="I94" s="191"/>
      <c r="J94" s="514"/>
      <c r="K94" s="514"/>
      <c r="L94" s="197" t="str">
        <f>IF(J94="Duplex",VLOOKUP(M94,'Características dos Cabos M EX'!$C$12:$I$14,7),(IF(J94="Triplex",VLOOKUP(M94,'Características dos Cabos M EX'!$C$15:$J$20,8),(IF(J94="Quadruplex",VLOOKUP(M94,'Características dos Cabos M EX'!$C$21:$K$27,9),(IF(J94="13",VLOOKUP(M94,'Características dos Cabos M EX'!$C$15:$L$20,10),"")))))))</f>
        <v/>
      </c>
      <c r="M94" s="350" t="str">
        <f t="shared" si="24"/>
        <v/>
      </c>
      <c r="N94" s="519"/>
      <c r="O94" s="192" t="str">
        <f t="shared" si="16"/>
        <v/>
      </c>
      <c r="P94" s="192" t="str">
        <f>IF(O94="","",SUM($O$86:O94)+$Z$86)</f>
        <v/>
      </c>
      <c r="Q94" s="192" t="str">
        <f t="shared" si="25"/>
        <v/>
      </c>
      <c r="R94" s="193" t="str">
        <f>IF(J94="Duplex",VLOOKUP(M94,'Características dos Cabos MX CH'!$C$12:$I$14,5),(IF(J94="Triplex",VLOOKUP(M94,'Características dos Cabos MX CH'!$C$15:$J$20,5),(IF(J94="Quadruplex",VLOOKUP(M94,'Características dos Cabos MX CH'!$C$21:$K$27,5),(IF(J94="13",VLOOKUP(M94,'Características dos Cabos MX CH'!$C$15:$L$20,5),"")))))))</f>
        <v/>
      </c>
      <c r="S94" s="193" t="str">
        <f>IF(J94="Duplex",VLOOKUP(M94,'Características dos Cabos MX CH'!$C$12:$I$14,6),(IF(J94="Triplex",VLOOKUP(M94,'Características dos Cabos MX CH'!$C$15:$J$20,6),(IF(J94="Quadruplex",VLOOKUP(M94,'Características dos Cabos MX CH'!$C$21:$K$27,6),(IF(J94="13",VLOOKUP(M94,'Características dos Cabos MX CH'!$C$15:$L$20,6),"")))))))</f>
        <v/>
      </c>
      <c r="T94" s="194" t="str">
        <f t="shared" si="13"/>
        <v/>
      </c>
      <c r="U94" s="447" t="str">
        <f>IF(J94="Duplex",VLOOKUP(M94,'Características dos Cabos MX CH'!$C$12:$I$14,2),(IF(J94="Triplex",VLOOKUP(M94,'Características dos Cabos MX CH'!$C$15:$J$20,2),(IF(J94="Quadruplex",VLOOKUP(M94,'Características dos Cabos MX CH'!$C$21:$K$27,2),(IF(J94="13",VLOOKUP(M94,'Características dos Cabos MX CH'!$C$15:$L$20,2),"")))))))</f>
        <v/>
      </c>
      <c r="V94" s="193" t="str">
        <f>IF(J94="Duplex",VLOOKUP(M94,'Características dos Cabos MX CH'!$C$12:$I$14,3),(IF(J94="Triplex",VLOOKUP(M94,'Características dos Cabos MX CH'!$C$15:$J$20,3),(IF(J94="Quadruplex",VLOOKUP(M94,'Características dos Cabos MX CH'!$C$21:$K$27,3),(IF(J94="13",VLOOKUP(M94,'Características dos Cabos MX CH'!$C$15:$L$20,3),"")))))))</f>
        <v/>
      </c>
      <c r="W94" s="195" t="str">
        <f t="shared" si="17"/>
        <v/>
      </c>
      <c r="X94" s="195" t="str">
        <f t="shared" si="18"/>
        <v/>
      </c>
      <c r="Y94" s="196" t="str">
        <f t="shared" si="19"/>
        <v/>
      </c>
      <c r="AA94" s="488">
        <f t="shared" si="20"/>
        <v>0</v>
      </c>
      <c r="AB94" s="488">
        <f t="shared" si="26"/>
        <v>0</v>
      </c>
      <c r="AC94" s="485"/>
      <c r="AE94" s="492" t="str">
        <f t="shared" si="23"/>
        <v/>
      </c>
      <c r="AF94" s="475">
        <f t="shared" si="15"/>
        <v>0</v>
      </c>
      <c r="AO94" s="401"/>
      <c r="AP94" s="413">
        <v>450</v>
      </c>
      <c r="AQ94" s="413">
        <v>3.52</v>
      </c>
      <c r="AR94" s="403"/>
    </row>
    <row r="95" spans="1:44" ht="15" customHeight="1" thickBot="1">
      <c r="A95" s="696"/>
      <c r="B95" s="699"/>
      <c r="C95" s="523"/>
      <c r="D95" s="524"/>
      <c r="E95" s="523"/>
      <c r="F95" s="526" t="str">
        <f t="shared" si="22"/>
        <v/>
      </c>
      <c r="G95" s="527"/>
      <c r="H95" s="200" t="str">
        <f>IF(AND(E95="",G95=""),"",SUM(F95:G95))</f>
        <v/>
      </c>
      <c r="I95" s="201"/>
      <c r="J95" s="528"/>
      <c r="K95" s="528"/>
      <c r="L95" s="202" t="str">
        <f>IF(J95="Duplex",VLOOKUP(M95,'Características dos Cabos M EX'!$C$12:$I$14,7),(IF(J95="Triplex",VLOOKUP(M95,'Características dos Cabos M EX'!$C$15:$J$20,8),(IF(J95="Quadruplex",VLOOKUP(M95,'Características dos Cabos M EX'!$C$21:$K$27,9),(IF(J95="13",VLOOKUP(M95,'Características dos Cabos M EX'!$C$15:$L$20,10),"")))))))</f>
        <v/>
      </c>
      <c r="M95" s="353" t="str">
        <f t="shared" si="24"/>
        <v/>
      </c>
      <c r="N95" s="529"/>
      <c r="O95" s="203" t="str">
        <f t="shared" si="16"/>
        <v/>
      </c>
      <c r="P95" s="203" t="str">
        <f>IF(O95="","",SUM($O$86:O95)+$Z$86)</f>
        <v/>
      </c>
      <c r="Q95" s="203" t="str">
        <f t="shared" si="25"/>
        <v/>
      </c>
      <c r="R95" s="204" t="str">
        <f>IF(J95="Duplex",VLOOKUP(M95,'Características dos Cabos MX CH'!$C$12:$I$14,5),(IF(J95="Triplex",VLOOKUP(M95,'Características dos Cabos MX CH'!$C$15:$J$20,5),(IF(J95="Quadruplex",VLOOKUP(M95,'Características dos Cabos MX CH'!$C$21:$K$27,5),(IF(J95="13",VLOOKUP(M95,'Características dos Cabos MX CH'!$C$15:$L$20,5),"")))))))</f>
        <v/>
      </c>
      <c r="S95" s="204" t="str">
        <f>IF(J95="Duplex",VLOOKUP(M95,'Características dos Cabos MX CH'!$C$12:$I$14,6),(IF(J95="Triplex",VLOOKUP(M95,'Características dos Cabos MX CH'!$C$15:$J$20,6),(IF(J95="Quadruplex",VLOOKUP(M95,'Características dos Cabos MX CH'!$C$21:$K$27,6),(IF(J95="13",VLOOKUP(M95,'Características dos Cabos MX CH'!$C$15:$L$20,6),"")))))))</f>
        <v/>
      </c>
      <c r="T95" s="205" t="str">
        <f t="shared" si="13"/>
        <v/>
      </c>
      <c r="U95" s="448" t="str">
        <f>IF(J95="Duplex",VLOOKUP(M95,'Características dos Cabos MX CH'!$C$12:$I$14,2),(IF(J95="Triplex",VLOOKUP(M95,'Características dos Cabos MX CH'!$C$15:$J$20,2),(IF(J95="Quadruplex",VLOOKUP(M95,'Características dos Cabos MX CH'!$C$21:$K$27,2),(IF(J95="13",VLOOKUP(M95,'Características dos Cabos MX CH'!$C$15:$L$20,2),"")))))))</f>
        <v/>
      </c>
      <c r="V95" s="204" t="str">
        <f>IF(J95="Duplex",VLOOKUP(M95,'Características dos Cabos MX CH'!$C$12:$I$14,3),(IF(J95="Triplex",VLOOKUP(M95,'Características dos Cabos MX CH'!$C$15:$J$20,3),(IF(J95="Quadruplex",VLOOKUP(M95,'Características dos Cabos MX CH'!$C$21:$K$27,3),(IF(J95="13",VLOOKUP(M95,'Características dos Cabos MX CH'!$C$15:$L$20,3),"")))))))</f>
        <v/>
      </c>
      <c r="W95" s="206" t="str">
        <f t="shared" si="17"/>
        <v/>
      </c>
      <c r="X95" s="206" t="str">
        <f t="shared" si="18"/>
        <v/>
      </c>
      <c r="Y95" s="207" t="str">
        <f t="shared" si="19"/>
        <v/>
      </c>
      <c r="AA95" s="488">
        <f t="shared" si="20"/>
        <v>0</v>
      </c>
      <c r="AB95" s="488">
        <f t="shared" si="26"/>
        <v>0</v>
      </c>
      <c r="AC95" s="485"/>
      <c r="AE95" s="492" t="str">
        <f t="shared" si="23"/>
        <v/>
      </c>
      <c r="AF95" s="475">
        <f t="shared" si="15"/>
        <v>0</v>
      </c>
      <c r="AO95" s="401"/>
      <c r="AP95" s="413">
        <v>460</v>
      </c>
      <c r="AQ95" s="413">
        <v>3.56</v>
      </c>
      <c r="AR95" s="403"/>
    </row>
    <row r="96" spans="1:44" ht="15" customHeight="1" thickTop="1">
      <c r="A96" s="696"/>
      <c r="B96" s="700" t="str">
        <f>CONCATENATE("Ramal 6 - Derivando no ponto ",C96)</f>
        <v xml:space="preserve">Ramal 6 - Derivando no ponto </v>
      </c>
      <c r="C96" s="532"/>
      <c r="D96" s="536"/>
      <c r="E96" s="537"/>
      <c r="F96" s="538" t="str">
        <f t="shared" si="22"/>
        <v/>
      </c>
      <c r="G96" s="539"/>
      <c r="H96" s="209" t="str">
        <f>IF(AND(E96="",G96=""),"",SUM(F96:G105))</f>
        <v/>
      </c>
      <c r="I96" s="210"/>
      <c r="J96" s="535"/>
      <c r="K96" s="535"/>
      <c r="L96" s="211" t="str">
        <f>IF(J96="Duplex",VLOOKUP(M96,'Características dos Cabos M EX'!$C$12:$I$14,7),(IF(J96="Triplex",VLOOKUP(M96,'Características dos Cabos M EX'!$C$15:$J$20,8),(IF(J96="Quadruplex",VLOOKUP(M96,'Características dos Cabos M EX'!$C$21:$K$27,9),(IF(J96="13",VLOOKUP(M96,'Características dos Cabos M EX'!$C$15:$L$20,10),"")))))))</f>
        <v/>
      </c>
      <c r="M96" s="354" t="str">
        <f t="shared" si="24"/>
        <v/>
      </c>
      <c r="N96" s="540"/>
      <c r="O96" s="212" t="str">
        <f t="shared" si="16"/>
        <v/>
      </c>
      <c r="P96" s="212" t="str">
        <f>IF(O96="","",O96+VLOOKUP(C96,$D$21:$Q$95,13,FALSE))</f>
        <v/>
      </c>
      <c r="Q96" s="212" t="str">
        <f t="shared" si="25"/>
        <v/>
      </c>
      <c r="R96" s="213" t="str">
        <f>IF(J96="Duplex",VLOOKUP(M96,'Características dos Cabos MX CH'!$C$12:$I$14,5),(IF(J96="Triplex",VLOOKUP(M96,'Características dos Cabos MX CH'!$C$15:$J$20,5),(IF(J96="Quadruplex",VLOOKUP(M96,'Características dos Cabos MX CH'!$C$21:$K$27,5),(IF(J96="13",VLOOKUP(M96,'Características dos Cabos MX CH'!$C$15:$L$20,5),"")))))))</f>
        <v/>
      </c>
      <c r="S96" s="213" t="str">
        <f>IF(J96="Duplex",VLOOKUP(M96,'Características dos Cabos MX CH'!$C$12:$I$14,6),(IF(J96="Triplex",VLOOKUP(M96,'Características dos Cabos MX CH'!$C$15:$J$20,6),(IF(J96="Quadruplex",VLOOKUP(M96,'Características dos Cabos MX CH'!$C$21:$K$27,6),(IF(J96="13",VLOOKUP(M96,'Características dos Cabos MX CH'!$C$15:$L$20,6),"")))))))</f>
        <v/>
      </c>
      <c r="T96" s="214" t="str">
        <f t="shared" si="13"/>
        <v/>
      </c>
      <c r="U96" s="450" t="str">
        <f>IF(J96="Duplex",VLOOKUP(M96,'Características dos Cabos MX CH'!$C$12:$I$14,2),(IF(J96="Triplex",VLOOKUP(M96,'Características dos Cabos MX CH'!$C$15:$J$20,2),(IF(J96="Quadruplex",VLOOKUP(M96,'Características dos Cabos MX CH'!$C$21:$K$27,2),(IF(J96="13",VLOOKUP(M96,'Características dos Cabos MX CH'!$C$15:$L$20,2),"")))))))</f>
        <v/>
      </c>
      <c r="V96" s="213" t="str">
        <f>IF(J96="Duplex",VLOOKUP(M96,'Características dos Cabos MX CH'!$C$12:$I$14,3),(IF(J96="Triplex",VLOOKUP(M96,'Características dos Cabos MX CH'!$C$15:$J$20,3),(IF(J96="Quadruplex",VLOOKUP(M96,'Características dos Cabos MX CH'!$C$21:$K$27,3),(IF(J96="13",VLOOKUP(M96,'Características dos Cabos MX CH'!$C$15:$L$20,3),"")))))))</f>
        <v/>
      </c>
      <c r="W96" s="215" t="str">
        <f t="shared" si="17"/>
        <v/>
      </c>
      <c r="X96" s="215" t="str">
        <f t="shared" si="18"/>
        <v/>
      </c>
      <c r="Y96" s="216" t="str">
        <f t="shared" si="19"/>
        <v/>
      </c>
      <c r="Z96" s="463" t="str">
        <f>IF(O96="","",VLOOKUP(C96,$D$21:$P$95,13,FALSE))</f>
        <v/>
      </c>
      <c r="AA96" s="488">
        <f t="shared" si="20"/>
        <v>0</v>
      </c>
      <c r="AB96" s="488">
        <f t="shared" si="26"/>
        <v>0</v>
      </c>
      <c r="AC96" s="485"/>
      <c r="AE96" s="492" t="str">
        <f t="shared" si="23"/>
        <v/>
      </c>
      <c r="AF96" s="475">
        <f t="shared" si="15"/>
        <v>0</v>
      </c>
      <c r="AO96" s="401"/>
      <c r="AP96" s="413">
        <v>470</v>
      </c>
      <c r="AQ96" s="413">
        <v>3.61</v>
      </c>
      <c r="AR96" s="403"/>
    </row>
    <row r="97" spans="1:44" ht="15" customHeight="1">
      <c r="A97" s="696"/>
      <c r="B97" s="698"/>
      <c r="C97" s="517"/>
      <c r="D97" s="520"/>
      <c r="E97" s="522"/>
      <c r="F97" s="521" t="str">
        <f t="shared" si="22"/>
        <v/>
      </c>
      <c r="G97" s="518"/>
      <c r="H97" s="190" t="str">
        <f>IF(AND(E97="",G97=""),"",SUM(F97:G105))</f>
        <v/>
      </c>
      <c r="I97" s="191"/>
      <c r="J97" s="514"/>
      <c r="K97" s="514"/>
      <c r="L97" s="197" t="str">
        <f>IF(J97="Duplex",VLOOKUP(M97,'Características dos Cabos M EX'!$C$12:$I$14,7),(IF(J97="Triplex",VLOOKUP(M97,'Características dos Cabos M EX'!$C$15:$J$20,8),(IF(J97="Quadruplex",VLOOKUP(M97,'Características dos Cabos M EX'!$C$21:$K$27,9),(IF(J97="13",VLOOKUP(M97,'Características dos Cabos M EX'!$C$15:$L$20,10),"")))))))</f>
        <v/>
      </c>
      <c r="M97" s="350" t="str">
        <f t="shared" si="24"/>
        <v/>
      </c>
      <c r="N97" s="519"/>
      <c r="O97" s="192" t="str">
        <f t="shared" si="16"/>
        <v/>
      </c>
      <c r="P97" s="192" t="str">
        <f>IF(O97="","",SUM($O$96:O97)+$Z$96)</f>
        <v/>
      </c>
      <c r="Q97" s="192" t="str">
        <f t="shared" si="25"/>
        <v/>
      </c>
      <c r="R97" s="193" t="str">
        <f>IF(J97="Duplex",VLOOKUP(M97,'Características dos Cabos MX CH'!$C$12:$I$14,5),(IF(J97="Triplex",VLOOKUP(M97,'Características dos Cabos MX CH'!$C$15:$J$20,5),(IF(J97="Quadruplex",VLOOKUP(M97,'Características dos Cabos MX CH'!$C$21:$K$27,5),(IF(J97="13",VLOOKUP(M97,'Características dos Cabos MX CH'!$C$15:$L$20,5),"")))))))</f>
        <v/>
      </c>
      <c r="S97" s="193" t="str">
        <f>IF(J97="Duplex",VLOOKUP(M97,'Características dos Cabos MX CH'!$C$12:$I$14,6),(IF(J97="Triplex",VLOOKUP(M97,'Características dos Cabos MX CH'!$C$15:$J$20,6),(IF(J97="Quadruplex",VLOOKUP(M97,'Características dos Cabos MX CH'!$C$21:$K$27,6),(IF(J97="13",VLOOKUP(M97,'Características dos Cabos MX CH'!$C$15:$L$20,6),"")))))))</f>
        <v/>
      </c>
      <c r="T97" s="194" t="str">
        <f t="shared" si="13"/>
        <v/>
      </c>
      <c r="U97" s="447" t="str">
        <f>IF(J97="Duplex",VLOOKUP(M97,'Características dos Cabos MX CH'!$C$12:$I$14,2),(IF(J97="Triplex",VLOOKUP(M97,'Características dos Cabos MX CH'!$C$15:$J$20,2),(IF(J97="Quadruplex",VLOOKUP(M97,'Características dos Cabos MX CH'!$C$21:$K$27,2),(IF(J97="13",VLOOKUP(M97,'Características dos Cabos MX CH'!$C$15:$L$20,2),"")))))))</f>
        <v/>
      </c>
      <c r="V97" s="193" t="str">
        <f>IF(J97="Duplex",VLOOKUP(M97,'Características dos Cabos MX CH'!$C$12:$I$14,3),(IF(J97="Triplex",VLOOKUP(M97,'Características dos Cabos MX CH'!$C$15:$J$20,3),(IF(J97="Quadruplex",VLOOKUP(M97,'Características dos Cabos MX CH'!$C$21:$K$27,3),(IF(J97="13",VLOOKUP(M97,'Características dos Cabos MX CH'!$C$15:$L$20,3),"")))))))</f>
        <v/>
      </c>
      <c r="W97" s="195" t="str">
        <f t="shared" si="17"/>
        <v/>
      </c>
      <c r="X97" s="195" t="str">
        <f t="shared" si="18"/>
        <v/>
      </c>
      <c r="Y97" s="196" t="str">
        <f t="shared" si="19"/>
        <v/>
      </c>
      <c r="AA97" s="488">
        <f t="shared" si="20"/>
        <v>0</v>
      </c>
      <c r="AB97" s="488">
        <f t="shared" si="26"/>
        <v>0</v>
      </c>
      <c r="AC97" s="485"/>
      <c r="AE97" s="492" t="str">
        <f t="shared" si="23"/>
        <v/>
      </c>
      <c r="AF97" s="475">
        <f t="shared" si="15"/>
        <v>0</v>
      </c>
      <c r="AO97" s="401"/>
      <c r="AP97" s="413">
        <v>480</v>
      </c>
      <c r="AQ97" s="413">
        <v>3.66</v>
      </c>
      <c r="AR97" s="403"/>
    </row>
    <row r="98" spans="1:44" ht="15" customHeight="1">
      <c r="A98" s="696"/>
      <c r="B98" s="698"/>
      <c r="C98" s="517"/>
      <c r="D98" s="520"/>
      <c r="E98" s="522"/>
      <c r="F98" s="521" t="str">
        <f t="shared" si="22"/>
        <v/>
      </c>
      <c r="G98" s="518"/>
      <c r="H98" s="190" t="str">
        <f>IF(AND(E98="",G98=""),"",SUM(F98:G105))</f>
        <v/>
      </c>
      <c r="I98" s="191"/>
      <c r="J98" s="514"/>
      <c r="K98" s="514"/>
      <c r="L98" s="197" t="str">
        <f>IF(J98="Duplex",VLOOKUP(M98,'Características dos Cabos M EX'!$C$12:$I$14,7),(IF(J98="Triplex",VLOOKUP(M98,'Características dos Cabos M EX'!$C$15:$J$20,8),(IF(J98="Quadruplex",VLOOKUP(M98,'Características dos Cabos M EX'!$C$21:$K$27,9),(IF(J98="13",VLOOKUP(M98,'Características dos Cabos M EX'!$C$15:$L$20,10),"")))))))</f>
        <v/>
      </c>
      <c r="M98" s="350" t="str">
        <f t="shared" si="24"/>
        <v/>
      </c>
      <c r="N98" s="519"/>
      <c r="O98" s="192" t="str">
        <f t="shared" si="16"/>
        <v/>
      </c>
      <c r="P98" s="192" t="str">
        <f>IF(O98="","",SUM($O$96:O98)+$Z$96)</f>
        <v/>
      </c>
      <c r="Q98" s="192" t="str">
        <f t="shared" si="25"/>
        <v/>
      </c>
      <c r="R98" s="193" t="str">
        <f>IF(J98="Duplex",VLOOKUP(M98,'Características dos Cabos MX CH'!$C$12:$I$14,5),(IF(J98="Triplex",VLOOKUP(M98,'Características dos Cabos MX CH'!$C$15:$J$20,5),(IF(J98="Quadruplex",VLOOKUP(M98,'Características dos Cabos MX CH'!$C$21:$K$27,5),(IF(J98="13",VLOOKUP(M98,'Características dos Cabos MX CH'!$C$15:$L$20,5),"")))))))</f>
        <v/>
      </c>
      <c r="S98" s="193" t="str">
        <f>IF(J98="Duplex",VLOOKUP(M98,'Características dos Cabos MX CH'!$C$12:$I$14,6),(IF(J98="Triplex",VLOOKUP(M98,'Características dos Cabos MX CH'!$C$15:$J$20,6),(IF(J98="Quadruplex",VLOOKUP(M98,'Características dos Cabos MX CH'!$C$21:$K$27,6),(IF(J98="13",VLOOKUP(M98,'Características dos Cabos MX CH'!$C$15:$L$20,6),"")))))))</f>
        <v/>
      </c>
      <c r="T98" s="194" t="str">
        <f t="shared" si="13"/>
        <v/>
      </c>
      <c r="U98" s="447" t="str">
        <f>IF(J98="Duplex",VLOOKUP(M98,'Características dos Cabos MX CH'!$C$12:$I$14,2),(IF(J98="Triplex",VLOOKUP(M98,'Características dos Cabos MX CH'!$C$15:$J$20,2),(IF(J98="Quadruplex",VLOOKUP(M98,'Características dos Cabos MX CH'!$C$21:$K$27,2),(IF(J98="13",VLOOKUP(M98,'Características dos Cabos MX CH'!$C$15:$L$20,2),"")))))))</f>
        <v/>
      </c>
      <c r="V98" s="193" t="str">
        <f>IF(J98="Duplex",VLOOKUP(M98,'Características dos Cabos MX CH'!$C$12:$I$14,3),(IF(J98="Triplex",VLOOKUP(M98,'Características dos Cabos MX CH'!$C$15:$J$20,3),(IF(J98="Quadruplex",VLOOKUP(M98,'Características dos Cabos MX CH'!$C$21:$K$27,3),(IF(J98="13",VLOOKUP(M98,'Características dos Cabos MX CH'!$C$15:$L$20,3),"")))))))</f>
        <v/>
      </c>
      <c r="W98" s="195" t="str">
        <f t="shared" si="17"/>
        <v/>
      </c>
      <c r="X98" s="195" t="str">
        <f t="shared" si="18"/>
        <v/>
      </c>
      <c r="Y98" s="196" t="str">
        <f t="shared" si="19"/>
        <v/>
      </c>
      <c r="AA98" s="488">
        <f t="shared" si="20"/>
        <v>0</v>
      </c>
      <c r="AB98" s="488">
        <f t="shared" si="26"/>
        <v>0</v>
      </c>
      <c r="AC98" s="485"/>
      <c r="AE98" s="492" t="str">
        <f t="shared" si="23"/>
        <v/>
      </c>
      <c r="AF98" s="475">
        <f t="shared" si="15"/>
        <v>0</v>
      </c>
      <c r="AO98" s="401"/>
      <c r="AP98" s="413">
        <v>490</v>
      </c>
      <c r="AQ98" s="413">
        <v>3.71</v>
      </c>
      <c r="AR98" s="403"/>
    </row>
    <row r="99" spans="1:44" ht="15" customHeight="1">
      <c r="A99" s="696"/>
      <c r="B99" s="698"/>
      <c r="C99" s="517"/>
      <c r="D99" s="520"/>
      <c r="E99" s="522"/>
      <c r="F99" s="521" t="str">
        <f t="shared" si="22"/>
        <v/>
      </c>
      <c r="G99" s="518"/>
      <c r="H99" s="190" t="str">
        <f>IF(AND(E99="",G99=""),"",SUM(F99:G105))</f>
        <v/>
      </c>
      <c r="I99" s="191"/>
      <c r="J99" s="514"/>
      <c r="K99" s="514"/>
      <c r="L99" s="197" t="str">
        <f>IF(J99="Duplex",VLOOKUP(M99,'Características dos Cabos M EX'!$C$12:$I$14,7),(IF(J99="Triplex",VLOOKUP(M99,'Características dos Cabos M EX'!$C$15:$J$20,8),(IF(J99="Quadruplex",VLOOKUP(M99,'Características dos Cabos M EX'!$C$21:$K$27,9),(IF(J99="13",VLOOKUP(M99,'Características dos Cabos M EX'!$C$15:$L$20,10),"")))))))</f>
        <v/>
      </c>
      <c r="M99" s="350" t="str">
        <f t="shared" si="24"/>
        <v/>
      </c>
      <c r="N99" s="519"/>
      <c r="O99" s="192" t="str">
        <f t="shared" si="16"/>
        <v/>
      </c>
      <c r="P99" s="192" t="str">
        <f>IF(O99="","",SUM($O$96:O99)+$Z$96)</f>
        <v/>
      </c>
      <c r="Q99" s="192" t="str">
        <f t="shared" si="25"/>
        <v/>
      </c>
      <c r="R99" s="193" t="str">
        <f>IF(J99="Duplex",VLOOKUP(M99,'Características dos Cabos MX CH'!$C$12:$I$14,5),(IF(J99="Triplex",VLOOKUP(M99,'Características dos Cabos MX CH'!$C$15:$J$20,5),(IF(J99="Quadruplex",VLOOKUP(M99,'Características dos Cabos MX CH'!$C$21:$K$27,5),(IF(J99="13",VLOOKUP(M99,'Características dos Cabos MX CH'!$C$15:$L$20,5),"")))))))</f>
        <v/>
      </c>
      <c r="S99" s="193" t="str">
        <f>IF(J99="Duplex",VLOOKUP(M99,'Características dos Cabos MX CH'!$C$12:$I$14,6),(IF(J99="Triplex",VLOOKUP(M99,'Características dos Cabos MX CH'!$C$15:$J$20,6),(IF(J99="Quadruplex",VLOOKUP(M99,'Características dos Cabos MX CH'!$C$21:$K$27,6),(IF(J99="13",VLOOKUP(M99,'Características dos Cabos MX CH'!$C$15:$L$20,6),"")))))))</f>
        <v/>
      </c>
      <c r="T99" s="194" t="str">
        <f t="shared" si="13"/>
        <v/>
      </c>
      <c r="U99" s="447" t="str">
        <f>IF(J99="Duplex",VLOOKUP(M99,'Características dos Cabos MX CH'!$C$12:$I$14,2),(IF(J99="Triplex",VLOOKUP(M99,'Características dos Cabos MX CH'!$C$15:$J$20,2),(IF(J99="Quadruplex",VLOOKUP(M99,'Características dos Cabos MX CH'!$C$21:$K$27,2),(IF(J99="13",VLOOKUP(M99,'Características dos Cabos MX CH'!$C$15:$L$20,2),"")))))))</f>
        <v/>
      </c>
      <c r="V99" s="193" t="str">
        <f>IF(J99="Duplex",VLOOKUP(M99,'Características dos Cabos MX CH'!$C$12:$I$14,3),(IF(J99="Triplex",VLOOKUP(M99,'Características dos Cabos MX CH'!$C$15:$J$20,3),(IF(J99="Quadruplex",VLOOKUP(M99,'Características dos Cabos MX CH'!$C$21:$K$27,3),(IF(J99="13",VLOOKUP(M99,'Características dos Cabos MX CH'!$C$15:$L$20,3),"")))))))</f>
        <v/>
      </c>
      <c r="W99" s="195" t="str">
        <f t="shared" si="17"/>
        <v/>
      </c>
      <c r="X99" s="195" t="str">
        <f t="shared" si="18"/>
        <v/>
      </c>
      <c r="Y99" s="196" t="str">
        <f t="shared" si="19"/>
        <v/>
      </c>
      <c r="AA99" s="488">
        <f t="shared" si="20"/>
        <v>0</v>
      </c>
      <c r="AB99" s="488">
        <f t="shared" si="26"/>
        <v>0</v>
      </c>
      <c r="AC99" s="485"/>
      <c r="AE99" s="492" t="str">
        <f t="shared" si="23"/>
        <v/>
      </c>
      <c r="AF99" s="475">
        <f t="shared" si="15"/>
        <v>0</v>
      </c>
      <c r="AO99" s="401"/>
      <c r="AP99" s="413">
        <v>500</v>
      </c>
      <c r="AQ99" s="413">
        <v>3.76</v>
      </c>
      <c r="AR99" s="403"/>
    </row>
    <row r="100" spans="1:44" ht="15" customHeight="1">
      <c r="A100" s="696"/>
      <c r="B100" s="698"/>
      <c r="C100" s="517"/>
      <c r="D100" s="520"/>
      <c r="E100" s="522"/>
      <c r="F100" s="521" t="str">
        <f t="shared" si="22"/>
        <v/>
      </c>
      <c r="G100" s="518"/>
      <c r="H100" s="190" t="str">
        <f>IF(AND(E100="",G100=""),"",SUM(F100:G105))</f>
        <v/>
      </c>
      <c r="I100" s="191"/>
      <c r="J100" s="514"/>
      <c r="K100" s="514"/>
      <c r="L100" s="197" t="str">
        <f>IF(J100="Duplex",VLOOKUP(M100,'Características dos Cabos M EX'!$C$12:$I$14,7),(IF(J100="Triplex",VLOOKUP(M100,'Características dos Cabos M EX'!$C$15:$J$20,8),(IF(J100="Quadruplex",VLOOKUP(M100,'Características dos Cabos M EX'!$C$21:$K$27,9),(IF(J100="13",VLOOKUP(M100,'Características dos Cabos M EX'!$C$15:$L$20,10),"")))))))</f>
        <v/>
      </c>
      <c r="M100" s="350" t="str">
        <f t="shared" si="24"/>
        <v/>
      </c>
      <c r="N100" s="519"/>
      <c r="O100" s="192" t="str">
        <f t="shared" si="16"/>
        <v/>
      </c>
      <c r="P100" s="192" t="str">
        <f>IF(O100="","",SUM($O$96:O100)+$Z$96)</f>
        <v/>
      </c>
      <c r="Q100" s="192" t="str">
        <f t="shared" si="25"/>
        <v/>
      </c>
      <c r="R100" s="193" t="str">
        <f>IF(J100="Duplex",VLOOKUP(M100,'Características dos Cabos MX CH'!$C$12:$I$14,5),(IF(J100="Triplex",VLOOKUP(M100,'Características dos Cabos MX CH'!$C$15:$J$20,5),(IF(J100="Quadruplex",VLOOKUP(M100,'Características dos Cabos MX CH'!$C$21:$K$27,5),(IF(J100="13",VLOOKUP(M100,'Características dos Cabos MX CH'!$C$15:$L$20,5),"")))))))</f>
        <v/>
      </c>
      <c r="S100" s="193" t="str">
        <f>IF(J100="Duplex",VLOOKUP(M100,'Características dos Cabos MX CH'!$C$12:$I$14,6),(IF(J100="Triplex",VLOOKUP(M100,'Características dos Cabos MX CH'!$C$15:$J$20,6),(IF(J100="Quadruplex",VLOOKUP(M100,'Características dos Cabos MX CH'!$C$21:$K$27,6),(IF(J100="13",VLOOKUP(M100,'Características dos Cabos MX CH'!$C$15:$L$20,6),"")))))))</f>
        <v/>
      </c>
      <c r="T100" s="194" t="str">
        <f t="shared" si="13"/>
        <v/>
      </c>
      <c r="U100" s="447" t="str">
        <f>IF(J100="Duplex",VLOOKUP(M100,'Características dos Cabos MX CH'!$C$12:$I$14,2),(IF(J100="Triplex",VLOOKUP(M100,'Características dos Cabos MX CH'!$C$15:$J$20,2),(IF(J100="Quadruplex",VLOOKUP(M100,'Características dos Cabos MX CH'!$C$21:$K$27,2),(IF(J100="13",VLOOKUP(M100,'Características dos Cabos MX CH'!$C$15:$L$20,2),"")))))))</f>
        <v/>
      </c>
      <c r="V100" s="193" t="str">
        <f>IF(J100="Duplex",VLOOKUP(M100,'Características dos Cabos MX CH'!$C$12:$I$14,3),(IF(J100="Triplex",VLOOKUP(M100,'Características dos Cabos MX CH'!$C$15:$J$20,3),(IF(J100="Quadruplex",VLOOKUP(M100,'Características dos Cabos MX CH'!$C$21:$K$27,3),(IF(J100="13",VLOOKUP(M100,'Características dos Cabos MX CH'!$C$15:$L$20,3),"")))))))</f>
        <v/>
      </c>
      <c r="W100" s="195" t="str">
        <f t="shared" si="17"/>
        <v/>
      </c>
      <c r="X100" s="195" t="str">
        <f t="shared" si="18"/>
        <v/>
      </c>
      <c r="Y100" s="196" t="str">
        <f t="shared" si="19"/>
        <v/>
      </c>
      <c r="AA100" s="488">
        <f t="shared" si="20"/>
        <v>0</v>
      </c>
      <c r="AB100" s="488">
        <f t="shared" si="26"/>
        <v>0</v>
      </c>
      <c r="AC100" s="485"/>
      <c r="AE100" s="492" t="str">
        <f t="shared" si="23"/>
        <v/>
      </c>
      <c r="AF100" s="475">
        <f t="shared" si="15"/>
        <v>0</v>
      </c>
      <c r="AO100" s="401"/>
      <c r="AP100" s="413">
        <v>510</v>
      </c>
      <c r="AQ100" s="413">
        <v>3.78</v>
      </c>
      <c r="AR100" s="403"/>
    </row>
    <row r="101" spans="1:44" ht="15" customHeight="1">
      <c r="A101" s="696"/>
      <c r="B101" s="698"/>
      <c r="C101" s="517"/>
      <c r="D101" s="520"/>
      <c r="E101" s="522"/>
      <c r="F101" s="521" t="str">
        <f t="shared" si="22"/>
        <v/>
      </c>
      <c r="G101" s="518"/>
      <c r="H101" s="190" t="str">
        <f>IF(AND(E101="",G101=""),"",SUM(F101:G105))</f>
        <v/>
      </c>
      <c r="I101" s="191"/>
      <c r="J101" s="514"/>
      <c r="K101" s="514"/>
      <c r="L101" s="197" t="str">
        <f>IF(J101="Duplex",VLOOKUP(M101,'Características dos Cabos M EX'!$C$12:$I$14,7),(IF(J101="Triplex",VLOOKUP(M101,'Características dos Cabos M EX'!$C$15:$J$20,8),(IF(J101="Quadruplex",VLOOKUP(M101,'Características dos Cabos M EX'!$C$21:$K$27,9),(IF(J101="13",VLOOKUP(M101,'Características dos Cabos M EX'!$C$15:$L$20,10),"")))))))</f>
        <v/>
      </c>
      <c r="M101" s="350" t="str">
        <f t="shared" si="24"/>
        <v/>
      </c>
      <c r="N101" s="519"/>
      <c r="O101" s="192" t="str">
        <f t="shared" si="16"/>
        <v/>
      </c>
      <c r="P101" s="192" t="str">
        <f>IF(O101="","",SUM($O$96:O101)+$Z$96)</f>
        <v/>
      </c>
      <c r="Q101" s="192" t="str">
        <f t="shared" si="25"/>
        <v/>
      </c>
      <c r="R101" s="193" t="str">
        <f>IF(J101="Duplex",VLOOKUP(M101,'Características dos Cabos MX CH'!$C$12:$I$14,5),(IF(J101="Triplex",VLOOKUP(M101,'Características dos Cabos MX CH'!$C$15:$J$20,5),(IF(J101="Quadruplex",VLOOKUP(M101,'Características dos Cabos MX CH'!$C$21:$K$27,5),(IF(J101="13",VLOOKUP(M101,'Características dos Cabos MX CH'!$C$15:$L$20,5),"")))))))</f>
        <v/>
      </c>
      <c r="S101" s="193" t="str">
        <f>IF(J101="Duplex",VLOOKUP(M101,'Características dos Cabos MX CH'!$C$12:$I$14,6),(IF(J101="Triplex",VLOOKUP(M101,'Características dos Cabos MX CH'!$C$15:$J$20,6),(IF(J101="Quadruplex",VLOOKUP(M101,'Características dos Cabos MX CH'!$C$21:$K$27,6),(IF(J101="13",VLOOKUP(M101,'Características dos Cabos MX CH'!$C$15:$L$20,6),"")))))))</f>
        <v/>
      </c>
      <c r="T101" s="194" t="str">
        <f t="shared" si="13"/>
        <v/>
      </c>
      <c r="U101" s="447" t="str">
        <f>IF(J101="Duplex",VLOOKUP(M101,'Características dos Cabos MX CH'!$C$12:$I$14,2),(IF(J101="Triplex",VLOOKUP(M101,'Características dos Cabos MX CH'!$C$15:$J$20,2),(IF(J101="Quadruplex",VLOOKUP(M101,'Características dos Cabos MX CH'!$C$21:$K$27,2),(IF(J101="13",VLOOKUP(M101,'Características dos Cabos MX CH'!$C$15:$L$20,2),"")))))))</f>
        <v/>
      </c>
      <c r="V101" s="193" t="str">
        <f>IF(J101="Duplex",VLOOKUP(M101,'Características dos Cabos MX CH'!$C$12:$I$14,3),(IF(J101="Triplex",VLOOKUP(M101,'Características dos Cabos MX CH'!$C$15:$J$20,3),(IF(J101="Quadruplex",VLOOKUP(M101,'Características dos Cabos MX CH'!$C$21:$K$27,3),(IF(J101="13",VLOOKUP(M101,'Características dos Cabos MX CH'!$C$15:$L$20,3),"")))))))</f>
        <v/>
      </c>
      <c r="W101" s="195" t="str">
        <f t="shared" si="17"/>
        <v/>
      </c>
      <c r="X101" s="195" t="str">
        <f t="shared" si="18"/>
        <v/>
      </c>
      <c r="Y101" s="196" t="str">
        <f t="shared" si="19"/>
        <v/>
      </c>
      <c r="AA101" s="488">
        <f t="shared" si="20"/>
        <v>0</v>
      </c>
      <c r="AB101" s="488">
        <f t="shared" si="26"/>
        <v>0</v>
      </c>
      <c r="AC101" s="485"/>
      <c r="AE101" s="492" t="str">
        <f t="shared" si="23"/>
        <v/>
      </c>
      <c r="AF101" s="475">
        <f t="shared" si="15"/>
        <v>0</v>
      </c>
      <c r="AO101" s="401"/>
      <c r="AP101" s="413">
        <v>520</v>
      </c>
      <c r="AQ101" s="413">
        <v>3.81</v>
      </c>
      <c r="AR101" s="403"/>
    </row>
    <row r="102" spans="1:44" ht="15" customHeight="1">
      <c r="A102" s="696"/>
      <c r="B102" s="698"/>
      <c r="C102" s="517"/>
      <c r="D102" s="520"/>
      <c r="E102" s="522"/>
      <c r="F102" s="521" t="str">
        <f t="shared" si="22"/>
        <v/>
      </c>
      <c r="G102" s="518"/>
      <c r="H102" s="190" t="str">
        <f>IF(AND(E102="",G102=""),"",SUM(F102:G105))</f>
        <v/>
      </c>
      <c r="I102" s="191"/>
      <c r="J102" s="514"/>
      <c r="K102" s="514"/>
      <c r="L102" s="197" t="str">
        <f>IF(J102="Duplex",VLOOKUP(M102,'Características dos Cabos M EX'!$C$12:$I$14,7),(IF(J102="Triplex",VLOOKUP(M102,'Características dos Cabos M EX'!$C$15:$J$20,8),(IF(J102="Quadruplex",VLOOKUP(M102,'Características dos Cabos M EX'!$C$21:$K$27,9),(IF(J102="13",VLOOKUP(M102,'Características dos Cabos M EX'!$C$15:$L$20,10),"")))))))</f>
        <v/>
      </c>
      <c r="M102" s="350" t="str">
        <f t="shared" si="24"/>
        <v/>
      </c>
      <c r="N102" s="519"/>
      <c r="O102" s="192" t="str">
        <f t="shared" si="16"/>
        <v/>
      </c>
      <c r="P102" s="192" t="str">
        <f>IF(O102="","",SUM($O$96:O102)+$Z$96)</f>
        <v/>
      </c>
      <c r="Q102" s="192" t="str">
        <f t="shared" si="25"/>
        <v/>
      </c>
      <c r="R102" s="193" t="str">
        <f>IF(J102="Duplex",VLOOKUP(M102,'Características dos Cabos MX CH'!$C$12:$I$14,5),(IF(J102="Triplex",VLOOKUP(M102,'Características dos Cabos MX CH'!$C$15:$J$20,5),(IF(J102="Quadruplex",VLOOKUP(M102,'Características dos Cabos MX CH'!$C$21:$K$27,5),(IF(J102="13",VLOOKUP(M102,'Características dos Cabos MX CH'!$C$15:$L$20,5),"")))))))</f>
        <v/>
      </c>
      <c r="S102" s="193" t="str">
        <f>IF(J102="Duplex",VLOOKUP(M102,'Características dos Cabos MX CH'!$C$12:$I$14,6),(IF(J102="Triplex",VLOOKUP(M102,'Características dos Cabos MX CH'!$C$15:$J$20,6),(IF(J102="Quadruplex",VLOOKUP(M102,'Características dos Cabos MX CH'!$C$21:$K$27,6),(IF(J102="13",VLOOKUP(M102,'Características dos Cabos MX CH'!$C$15:$L$20,6),"")))))))</f>
        <v/>
      </c>
      <c r="T102" s="194" t="str">
        <f t="shared" si="13"/>
        <v/>
      </c>
      <c r="U102" s="447" t="str">
        <f>IF(J102="Duplex",VLOOKUP(M102,'Características dos Cabos MX CH'!$C$12:$I$14,2),(IF(J102="Triplex",VLOOKUP(M102,'Características dos Cabos MX CH'!$C$15:$J$20,2),(IF(J102="Quadruplex",VLOOKUP(M102,'Características dos Cabos MX CH'!$C$21:$K$27,2),(IF(J102="13",VLOOKUP(M102,'Características dos Cabos MX CH'!$C$15:$L$20,2),"")))))))</f>
        <v/>
      </c>
      <c r="V102" s="193" t="str">
        <f>IF(J102="Duplex",VLOOKUP(M102,'Características dos Cabos MX CH'!$C$12:$I$14,3),(IF(J102="Triplex",VLOOKUP(M102,'Características dos Cabos MX CH'!$C$15:$J$20,3),(IF(J102="Quadruplex",VLOOKUP(M102,'Características dos Cabos MX CH'!$C$21:$K$27,3),(IF(J102="13",VLOOKUP(M102,'Características dos Cabos MX CH'!$C$15:$L$20,3),"")))))))</f>
        <v/>
      </c>
      <c r="W102" s="195" t="str">
        <f t="shared" si="17"/>
        <v/>
      </c>
      <c r="X102" s="195" t="str">
        <f t="shared" si="18"/>
        <v/>
      </c>
      <c r="Y102" s="196" t="str">
        <f t="shared" si="19"/>
        <v/>
      </c>
      <c r="AA102" s="488">
        <f t="shared" si="20"/>
        <v>0</v>
      </c>
      <c r="AB102" s="488">
        <f t="shared" si="26"/>
        <v>0</v>
      </c>
      <c r="AC102" s="485"/>
      <c r="AE102" s="492" t="str">
        <f t="shared" si="23"/>
        <v/>
      </c>
      <c r="AF102" s="475">
        <f t="shared" si="15"/>
        <v>0</v>
      </c>
      <c r="AO102" s="401"/>
      <c r="AP102" s="413">
        <v>530</v>
      </c>
      <c r="AQ102" s="413">
        <v>3.83</v>
      </c>
      <c r="AR102" s="403"/>
    </row>
    <row r="103" spans="1:44" ht="15" customHeight="1">
      <c r="A103" s="696"/>
      <c r="B103" s="698"/>
      <c r="C103" s="517"/>
      <c r="D103" s="520"/>
      <c r="E103" s="522"/>
      <c r="F103" s="521" t="str">
        <f t="shared" si="22"/>
        <v/>
      </c>
      <c r="G103" s="518"/>
      <c r="H103" s="190" t="str">
        <f>IF(AND(E103="",G103=""),"",SUM(F103:G105))</f>
        <v/>
      </c>
      <c r="I103" s="191"/>
      <c r="J103" s="514"/>
      <c r="K103" s="514"/>
      <c r="L103" s="197" t="str">
        <f>IF(J103="Duplex",VLOOKUP(M103,'Características dos Cabos M EX'!$C$12:$I$14,7),(IF(J103="Triplex",VLOOKUP(M103,'Características dos Cabos M EX'!$C$15:$J$20,8),(IF(J103="Quadruplex",VLOOKUP(M103,'Características dos Cabos M EX'!$C$21:$K$27,9),(IF(J103="13",VLOOKUP(M103,'Características dos Cabos M EX'!$C$15:$L$20,10),"")))))))</f>
        <v/>
      </c>
      <c r="M103" s="350" t="str">
        <f t="shared" si="24"/>
        <v/>
      </c>
      <c r="N103" s="519"/>
      <c r="O103" s="192" t="str">
        <f t="shared" si="16"/>
        <v/>
      </c>
      <c r="P103" s="192" t="str">
        <f>IF(O103="","",SUM($O$96:O103)+$Z$96)</f>
        <v/>
      </c>
      <c r="Q103" s="192" t="str">
        <f t="shared" si="25"/>
        <v/>
      </c>
      <c r="R103" s="193" t="str">
        <f>IF(J103="Duplex",VLOOKUP(M103,'Características dos Cabos MX CH'!$C$12:$I$14,5),(IF(J103="Triplex",VLOOKUP(M103,'Características dos Cabos MX CH'!$C$15:$J$20,5),(IF(J103="Quadruplex",VLOOKUP(M103,'Características dos Cabos MX CH'!$C$21:$K$27,5),(IF(J103="13",VLOOKUP(M103,'Características dos Cabos MX CH'!$C$15:$L$20,5),"")))))))</f>
        <v/>
      </c>
      <c r="S103" s="193" t="str">
        <f>IF(J103="Duplex",VLOOKUP(M103,'Características dos Cabos MX CH'!$C$12:$I$14,6),(IF(J103="Triplex",VLOOKUP(M103,'Características dos Cabos MX CH'!$C$15:$J$20,6),(IF(J103="Quadruplex",VLOOKUP(M103,'Características dos Cabos MX CH'!$C$21:$K$27,6),(IF(J103="13",VLOOKUP(M103,'Características dos Cabos MX CH'!$C$15:$L$20,6),"")))))))</f>
        <v/>
      </c>
      <c r="T103" s="194" t="str">
        <f t="shared" si="13"/>
        <v/>
      </c>
      <c r="U103" s="447" t="str">
        <f>IF(J103="Duplex",VLOOKUP(M103,'Características dos Cabos MX CH'!$C$12:$I$14,2),(IF(J103="Triplex",VLOOKUP(M103,'Características dos Cabos MX CH'!$C$15:$J$20,2),(IF(J103="Quadruplex",VLOOKUP(M103,'Características dos Cabos MX CH'!$C$21:$K$27,2),(IF(J103="13",VLOOKUP(M103,'Características dos Cabos MX CH'!$C$15:$L$20,2),"")))))))</f>
        <v/>
      </c>
      <c r="V103" s="193" t="str">
        <f>IF(J103="Duplex",VLOOKUP(M103,'Características dos Cabos MX CH'!$C$12:$I$14,3),(IF(J103="Triplex",VLOOKUP(M103,'Características dos Cabos MX CH'!$C$15:$J$20,3),(IF(J103="Quadruplex",VLOOKUP(M103,'Características dos Cabos MX CH'!$C$21:$K$27,3),(IF(J103="13",VLOOKUP(M103,'Características dos Cabos MX CH'!$C$15:$L$20,3),"")))))))</f>
        <v/>
      </c>
      <c r="W103" s="195" t="str">
        <f t="shared" si="17"/>
        <v/>
      </c>
      <c r="X103" s="195" t="str">
        <f t="shared" si="18"/>
        <v/>
      </c>
      <c r="Y103" s="196" t="str">
        <f t="shared" si="19"/>
        <v/>
      </c>
      <c r="AA103" s="488">
        <f t="shared" si="20"/>
        <v>0</v>
      </c>
      <c r="AB103" s="488">
        <f t="shared" si="26"/>
        <v>0</v>
      </c>
      <c r="AC103" s="485"/>
      <c r="AE103" s="492" t="str">
        <f t="shared" si="23"/>
        <v/>
      </c>
      <c r="AF103" s="475">
        <f t="shared" si="15"/>
        <v>0</v>
      </c>
      <c r="AO103" s="401"/>
      <c r="AP103" s="413">
        <v>540</v>
      </c>
      <c r="AQ103" s="413">
        <v>3.86</v>
      </c>
      <c r="AR103" s="403"/>
    </row>
    <row r="104" spans="1:44" ht="15" customHeight="1">
      <c r="A104" s="696"/>
      <c r="B104" s="698"/>
      <c r="C104" s="517"/>
      <c r="D104" s="520"/>
      <c r="E104" s="522"/>
      <c r="F104" s="521" t="str">
        <f t="shared" si="22"/>
        <v/>
      </c>
      <c r="G104" s="518"/>
      <c r="H104" s="190" t="str">
        <f>IF(AND(E104="",G104=""),"",SUM(F104:G105))</f>
        <v/>
      </c>
      <c r="I104" s="191"/>
      <c r="J104" s="514"/>
      <c r="K104" s="514"/>
      <c r="L104" s="197" t="str">
        <f>IF(J104="Duplex",VLOOKUP(M104,'Características dos Cabos M EX'!$C$12:$I$14,7),(IF(J104="Triplex",VLOOKUP(M104,'Características dos Cabos M EX'!$C$15:$J$20,8),(IF(J104="Quadruplex",VLOOKUP(M104,'Características dos Cabos M EX'!$C$21:$K$27,9),(IF(J104="13",VLOOKUP(M104,'Características dos Cabos M EX'!$C$15:$L$20,10),"")))))))</f>
        <v/>
      </c>
      <c r="M104" s="350" t="str">
        <f t="shared" si="24"/>
        <v/>
      </c>
      <c r="N104" s="519"/>
      <c r="O104" s="192" t="str">
        <f t="shared" si="16"/>
        <v/>
      </c>
      <c r="P104" s="192" t="str">
        <f>IF(O104="","",SUM($O$96:O104)+$Z$96)</f>
        <v/>
      </c>
      <c r="Q104" s="192" t="str">
        <f t="shared" si="25"/>
        <v/>
      </c>
      <c r="R104" s="193" t="str">
        <f>IF(J104="Duplex",VLOOKUP(M104,'Características dos Cabos MX CH'!$C$12:$I$14,5),(IF(J104="Triplex",VLOOKUP(M104,'Características dos Cabos MX CH'!$C$15:$J$20,5),(IF(J104="Quadruplex",VLOOKUP(M104,'Características dos Cabos MX CH'!$C$21:$K$27,5),(IF(J104="13",VLOOKUP(M104,'Características dos Cabos MX CH'!$C$15:$L$20,5),"")))))))</f>
        <v/>
      </c>
      <c r="S104" s="193" t="str">
        <f>IF(J104="Duplex",VLOOKUP(M104,'Características dos Cabos MX CH'!$C$12:$I$14,6),(IF(J104="Triplex",VLOOKUP(M104,'Características dos Cabos MX CH'!$C$15:$J$20,6),(IF(J104="Quadruplex",VLOOKUP(M104,'Características dos Cabos MX CH'!$C$21:$K$27,6),(IF(J104="13",VLOOKUP(M104,'Características dos Cabos MX CH'!$C$15:$L$20,6),"")))))))</f>
        <v/>
      </c>
      <c r="T104" s="194" t="str">
        <f t="shared" si="13"/>
        <v/>
      </c>
      <c r="U104" s="447" t="str">
        <f>IF(J104="Duplex",VLOOKUP(M104,'Características dos Cabos MX CH'!$C$12:$I$14,2),(IF(J104="Triplex",VLOOKUP(M104,'Características dos Cabos MX CH'!$C$15:$J$20,2),(IF(J104="Quadruplex",VLOOKUP(M104,'Características dos Cabos MX CH'!$C$21:$K$27,2),(IF(J104="13",VLOOKUP(M104,'Características dos Cabos MX CH'!$C$15:$L$20,2),"")))))))</f>
        <v/>
      </c>
      <c r="V104" s="193" t="str">
        <f>IF(J104="Duplex",VLOOKUP(M104,'Características dos Cabos MX CH'!$C$12:$I$14,3),(IF(J104="Triplex",VLOOKUP(M104,'Características dos Cabos MX CH'!$C$15:$J$20,3),(IF(J104="Quadruplex",VLOOKUP(M104,'Características dos Cabos MX CH'!$C$21:$K$27,3),(IF(J104="13",VLOOKUP(M104,'Características dos Cabos MX CH'!$C$15:$L$20,3),"")))))))</f>
        <v/>
      </c>
      <c r="W104" s="195" t="str">
        <f t="shared" si="17"/>
        <v/>
      </c>
      <c r="X104" s="195" t="str">
        <f t="shared" si="18"/>
        <v/>
      </c>
      <c r="Y104" s="196" t="str">
        <f t="shared" si="19"/>
        <v/>
      </c>
      <c r="AA104" s="488">
        <f t="shared" si="20"/>
        <v>0</v>
      </c>
      <c r="AB104" s="488">
        <f t="shared" si="26"/>
        <v>0</v>
      </c>
      <c r="AC104" s="485"/>
      <c r="AE104" s="492" t="str">
        <f t="shared" si="23"/>
        <v/>
      </c>
      <c r="AF104" s="475">
        <f t="shared" si="15"/>
        <v>0</v>
      </c>
      <c r="AO104" s="401"/>
      <c r="AP104" s="413">
        <v>550</v>
      </c>
      <c r="AQ104" s="413">
        <v>3.88</v>
      </c>
      <c r="AR104" s="403"/>
    </row>
    <row r="105" spans="1:44" ht="15" customHeight="1" thickBot="1">
      <c r="A105" s="696"/>
      <c r="B105" s="699"/>
      <c r="C105" s="523"/>
      <c r="D105" s="524"/>
      <c r="E105" s="523"/>
      <c r="F105" s="526" t="str">
        <f t="shared" si="22"/>
        <v/>
      </c>
      <c r="G105" s="527"/>
      <c r="H105" s="200" t="str">
        <f>IF(AND(E105="",G105=""),"",SUM(F105:G105))</f>
        <v/>
      </c>
      <c r="I105" s="201"/>
      <c r="J105" s="528"/>
      <c r="K105" s="528"/>
      <c r="L105" s="200" t="str">
        <f>IF(J105="Duplex",VLOOKUP(M105,'Características dos Cabos M EX'!$C$12:$I$14,7),(IF(J105="Triplex",VLOOKUP(M105,'Características dos Cabos M EX'!$C$15:$J$20,8),(IF(J105="Quadruplex",VLOOKUP(M105,'Características dos Cabos M EX'!$C$21:$K$27,9),(IF(J105="13",VLOOKUP(M105,'Características dos Cabos M EX'!$C$15:$L$20,10),"")))))))</f>
        <v/>
      </c>
      <c r="M105" s="353" t="str">
        <f t="shared" si="24"/>
        <v/>
      </c>
      <c r="N105" s="529"/>
      <c r="O105" s="203" t="str">
        <f t="shared" si="16"/>
        <v/>
      </c>
      <c r="P105" s="203" t="str">
        <f>IF(O105="","",SUM($O$96:O105)+$Z$96)</f>
        <v/>
      </c>
      <c r="Q105" s="203" t="str">
        <f t="shared" si="25"/>
        <v/>
      </c>
      <c r="R105" s="204" t="str">
        <f>IF(J105="Duplex",VLOOKUP(M105,'Características dos Cabos MX CH'!$C$12:$I$14,5),(IF(J105="Triplex",VLOOKUP(M105,'Características dos Cabos MX CH'!$C$15:$J$20,5),(IF(J105="Quadruplex",VLOOKUP(M105,'Características dos Cabos MX CH'!$C$21:$K$27,5),(IF(J105="13",VLOOKUP(M105,'Características dos Cabos MX CH'!$C$15:$L$20,5),"")))))))</f>
        <v/>
      </c>
      <c r="S105" s="204" t="str">
        <f>IF(J105="Duplex",VLOOKUP(M105,'Características dos Cabos MX CH'!$C$12:$I$14,6),(IF(J105="Triplex",VLOOKUP(M105,'Características dos Cabos MX CH'!$C$15:$J$20,6),(IF(J105="Quadruplex",VLOOKUP(M105,'Características dos Cabos MX CH'!$C$21:$K$27,6),(IF(J105="13",VLOOKUP(M105,'Características dos Cabos MX CH'!$C$15:$L$20,6),"")))))))</f>
        <v/>
      </c>
      <c r="T105" s="205" t="str">
        <f t="shared" si="13"/>
        <v/>
      </c>
      <c r="U105" s="448" t="str">
        <f>IF(J105="Duplex",VLOOKUP(M105,'Características dos Cabos MX CH'!$C$12:$I$14,2),(IF(J105="Triplex",VLOOKUP(M105,'Características dos Cabos MX CH'!$C$15:$J$20,2),(IF(J105="Quadruplex",VLOOKUP(M105,'Características dos Cabos MX CH'!$C$21:$K$27,2),(IF(J105="13",VLOOKUP(M105,'Características dos Cabos MX CH'!$C$15:$L$20,2),"")))))))</f>
        <v/>
      </c>
      <c r="V105" s="204" t="str">
        <f>IF(J105="Duplex",VLOOKUP(M105,'Características dos Cabos MX CH'!$C$12:$I$14,3),(IF(J105="Triplex",VLOOKUP(M105,'Características dos Cabos MX CH'!$C$15:$J$20,3),(IF(J105="Quadruplex",VLOOKUP(M105,'Características dos Cabos MX CH'!$C$21:$K$27,3),(IF(J105="13",VLOOKUP(M105,'Características dos Cabos MX CH'!$C$15:$L$20,3),"")))))))</f>
        <v/>
      </c>
      <c r="W105" s="206" t="str">
        <f t="shared" si="17"/>
        <v/>
      </c>
      <c r="X105" s="206" t="str">
        <f t="shared" si="18"/>
        <v/>
      </c>
      <c r="Y105" s="207" t="str">
        <f t="shared" si="19"/>
        <v/>
      </c>
      <c r="AA105" s="488">
        <f t="shared" si="20"/>
        <v>0</v>
      </c>
      <c r="AB105" s="488">
        <f t="shared" si="26"/>
        <v>0</v>
      </c>
      <c r="AC105" s="485"/>
      <c r="AE105" s="492" t="str">
        <f t="shared" si="23"/>
        <v/>
      </c>
      <c r="AF105" s="475">
        <f t="shared" si="15"/>
        <v>0</v>
      </c>
      <c r="AO105" s="401"/>
      <c r="AP105" s="413">
        <v>560</v>
      </c>
      <c r="AQ105" s="413">
        <v>3.90</v>
      </c>
      <c r="AR105" s="403"/>
    </row>
    <row r="106" spans="1:44" ht="15" customHeight="1" thickTop="1">
      <c r="A106" s="696"/>
      <c r="B106" s="700" t="str">
        <f>CONCATENATE("Ramal 7 - Derivando no ponto ",C106)</f>
        <v xml:space="preserve">Ramal 7 - Derivando no ponto </v>
      </c>
      <c r="C106" s="532"/>
      <c r="D106" s="536"/>
      <c r="E106" s="537"/>
      <c r="F106" s="538" t="str">
        <f t="shared" si="22"/>
        <v/>
      </c>
      <c r="G106" s="539"/>
      <c r="H106" s="209" t="str">
        <f>IF(AND(E106="",G106=""),"",SUM(F106:G115))</f>
        <v/>
      </c>
      <c r="I106" s="210"/>
      <c r="J106" s="535"/>
      <c r="K106" s="535"/>
      <c r="L106" s="197" t="str">
        <f>IF(J106="Duplex",VLOOKUP(M106,'Características dos Cabos M EX'!$C$12:$I$14,7),(IF(J106="Triplex",VLOOKUP(M106,'Características dos Cabos M EX'!$C$15:$J$20,8),(IF(J106="Quadruplex",VLOOKUP(M106,'Características dos Cabos M EX'!$C$21:$K$27,9),(IF(J106="13",VLOOKUP(M106,'Características dos Cabos M EX'!$C$15:$L$20,10),"")))))))</f>
        <v/>
      </c>
      <c r="M106" s="354" t="str">
        <f t="shared" si="24"/>
        <v/>
      </c>
      <c r="N106" s="540"/>
      <c r="O106" s="212" t="str">
        <f t="shared" si="16"/>
        <v/>
      </c>
      <c r="P106" s="212" t="str">
        <f>IF(O106="","",O106+VLOOKUP(C106,$D$21:$Q$105,13,FALSE))</f>
        <v/>
      </c>
      <c r="Q106" s="212" t="str">
        <f t="shared" si="25"/>
        <v/>
      </c>
      <c r="R106" s="213" t="str">
        <f>IF(J106="Duplex",VLOOKUP(M106,'Características dos Cabos MX CH'!$C$12:$I$14,5),(IF(J106="Triplex",VLOOKUP(M106,'Características dos Cabos MX CH'!$C$15:$J$20,5),(IF(J106="Quadruplex",VLOOKUP(M106,'Características dos Cabos MX CH'!$C$21:$K$27,5),(IF(J106="13",VLOOKUP(M106,'Características dos Cabos MX CH'!$C$15:$L$20,5),"")))))))</f>
        <v/>
      </c>
      <c r="S106" s="213" t="str">
        <f>IF(J106="Duplex",VLOOKUP(M106,'Características dos Cabos MX CH'!$C$12:$I$14,6),(IF(J106="Triplex",VLOOKUP(M106,'Características dos Cabos MX CH'!$C$15:$J$20,6),(IF(J106="Quadruplex",VLOOKUP(M106,'Características dos Cabos MX CH'!$C$21:$K$27,6),(IF(J106="13",VLOOKUP(M106,'Características dos Cabos MX CH'!$C$15:$L$20,6),"")))))))</f>
        <v/>
      </c>
      <c r="T106" s="214" t="str">
        <f t="shared" si="13"/>
        <v/>
      </c>
      <c r="U106" s="450" t="str">
        <f>IF(J106="Duplex",VLOOKUP(M106,'Características dos Cabos MX CH'!$C$12:$I$14,2),(IF(J106="Triplex",VLOOKUP(M106,'Características dos Cabos MX CH'!$C$15:$J$20,2),(IF(J106="Quadruplex",VLOOKUP(M106,'Características dos Cabos MX CH'!$C$21:$K$27,2),(IF(J106="13",VLOOKUP(M106,'Características dos Cabos MX CH'!$C$15:$L$20,2),"")))))))</f>
        <v/>
      </c>
      <c r="V106" s="213" t="str">
        <f>IF(J106="Duplex",VLOOKUP(M106,'Características dos Cabos MX CH'!$C$12:$I$14,3),(IF(J106="Triplex",VLOOKUP(M106,'Características dos Cabos MX CH'!$C$15:$J$20,3),(IF(J106="Quadruplex",VLOOKUP(M106,'Características dos Cabos MX CH'!$C$21:$K$27,3),(IF(J106="13",VLOOKUP(M106,'Características dos Cabos MX CH'!$C$15:$L$20,3),"")))))))</f>
        <v/>
      </c>
      <c r="W106" s="215" t="str">
        <f t="shared" si="17"/>
        <v/>
      </c>
      <c r="X106" s="215" t="str">
        <f t="shared" si="18"/>
        <v/>
      </c>
      <c r="Y106" s="216" t="str">
        <f t="shared" si="19"/>
        <v/>
      </c>
      <c r="Z106" s="463" t="str">
        <f>IF(O106="","",VLOOKUP(C106,$D$21:$P$105,13,FALSE))</f>
        <v/>
      </c>
      <c r="AA106" s="488">
        <f t="shared" si="20"/>
        <v>0</v>
      </c>
      <c r="AB106" s="488">
        <f t="shared" si="26"/>
        <v>0</v>
      </c>
      <c r="AC106" s="485"/>
      <c r="AE106" s="492" t="str">
        <f t="shared" si="23"/>
        <v/>
      </c>
      <c r="AF106" s="475">
        <f t="shared" si="15"/>
        <v>0</v>
      </c>
      <c r="AO106" s="401"/>
      <c r="AP106" s="413">
        <v>570</v>
      </c>
      <c r="AQ106" s="413">
        <v>3.93</v>
      </c>
      <c r="AR106" s="403"/>
    </row>
    <row r="107" spans="1:44" ht="15" customHeight="1">
      <c r="A107" s="696"/>
      <c r="B107" s="698"/>
      <c r="C107" s="517"/>
      <c r="D107" s="520"/>
      <c r="E107" s="522"/>
      <c r="F107" s="521" t="str">
        <f t="shared" si="22"/>
        <v/>
      </c>
      <c r="G107" s="518"/>
      <c r="H107" s="190" t="str">
        <f>IF(AND(E107="",G107=""),"",SUM(F107:G115))</f>
        <v/>
      </c>
      <c r="I107" s="191"/>
      <c r="J107" s="514"/>
      <c r="K107" s="514"/>
      <c r="L107" s="197" t="str">
        <f>IF(J107="Duplex",VLOOKUP(M107,'Características dos Cabos M EX'!$C$12:$I$14,7),(IF(J107="Triplex",VLOOKUP(M107,'Características dos Cabos M EX'!$C$15:$J$20,8),(IF(J107="Quadruplex",VLOOKUP(M107,'Características dos Cabos M EX'!$C$21:$K$27,9),(IF(J107="13",VLOOKUP(M107,'Características dos Cabos M EX'!$C$15:$L$20,10),"")))))))</f>
        <v/>
      </c>
      <c r="M107" s="350" t="str">
        <f t="shared" si="24"/>
        <v/>
      </c>
      <c r="N107" s="519"/>
      <c r="O107" s="192" t="str">
        <f t="shared" si="16"/>
        <v/>
      </c>
      <c r="P107" s="192" t="str">
        <f>IF(O107="","",SUM($O$106:O107)+$Z$106)</f>
        <v/>
      </c>
      <c r="Q107" s="192" t="str">
        <f t="shared" si="25"/>
        <v/>
      </c>
      <c r="R107" s="193" t="str">
        <f>IF(J107="Duplex",VLOOKUP(M107,'Características dos Cabos MX CH'!$C$12:$I$14,5),(IF(J107="Triplex",VLOOKUP(M107,'Características dos Cabos MX CH'!$C$15:$J$20,5),(IF(J107="Quadruplex",VLOOKUP(M107,'Características dos Cabos MX CH'!$C$21:$K$27,5),(IF(J107="13",VLOOKUP(M107,'Características dos Cabos MX CH'!$C$15:$L$20,5),"")))))))</f>
        <v/>
      </c>
      <c r="S107" s="193" t="str">
        <f>IF(J107="Duplex",VLOOKUP(M107,'Características dos Cabos MX CH'!$C$12:$I$14,6),(IF(J107="Triplex",VLOOKUP(M107,'Características dos Cabos MX CH'!$C$15:$J$20,6),(IF(J107="Quadruplex",VLOOKUP(M107,'Características dos Cabos MX CH'!$C$21:$K$27,6),(IF(J107="13",VLOOKUP(M107,'Características dos Cabos MX CH'!$C$15:$L$20,6),"")))))))</f>
        <v/>
      </c>
      <c r="T107" s="194" t="str">
        <f t="shared" si="13"/>
        <v/>
      </c>
      <c r="U107" s="447" t="str">
        <f>IF(J107="Duplex",VLOOKUP(M107,'Características dos Cabos MX CH'!$C$12:$I$14,2),(IF(J107="Triplex",VLOOKUP(M107,'Características dos Cabos MX CH'!$C$15:$J$20,2),(IF(J107="Quadruplex",VLOOKUP(M107,'Características dos Cabos MX CH'!$C$21:$K$27,2),(IF(J107="13",VLOOKUP(M107,'Características dos Cabos MX CH'!$C$15:$L$20,2),"")))))))</f>
        <v/>
      </c>
      <c r="V107" s="193" t="str">
        <f>IF(J107="Duplex",VLOOKUP(M107,'Características dos Cabos MX CH'!$C$12:$I$14,3),(IF(J107="Triplex",VLOOKUP(M107,'Características dos Cabos MX CH'!$C$15:$J$20,3),(IF(J107="Quadruplex",VLOOKUP(M107,'Características dos Cabos MX CH'!$C$21:$K$27,3),(IF(J107="13",VLOOKUP(M107,'Características dos Cabos MX CH'!$C$15:$L$20,3),"")))))))</f>
        <v/>
      </c>
      <c r="W107" s="195" t="str">
        <f t="shared" si="17"/>
        <v/>
      </c>
      <c r="X107" s="195" t="str">
        <f t="shared" si="18"/>
        <v/>
      </c>
      <c r="Y107" s="196" t="str">
        <f t="shared" si="19"/>
        <v/>
      </c>
      <c r="AA107" s="488">
        <f t="shared" si="20"/>
        <v>0</v>
      </c>
      <c r="AB107" s="488">
        <f t="shared" si="26"/>
        <v>0</v>
      </c>
      <c r="AC107" s="485"/>
      <c r="AE107" s="492" t="str">
        <f t="shared" si="23"/>
        <v/>
      </c>
      <c r="AF107" s="475">
        <f t="shared" si="15"/>
        <v>0</v>
      </c>
      <c r="AO107" s="401"/>
      <c r="AP107" s="413">
        <v>580</v>
      </c>
      <c r="AQ107" s="413">
        <v>3.95</v>
      </c>
      <c r="AR107" s="403"/>
    </row>
    <row r="108" spans="1:44" ht="15" customHeight="1">
      <c r="A108" s="696"/>
      <c r="B108" s="698"/>
      <c r="C108" s="517"/>
      <c r="D108" s="520"/>
      <c r="E108" s="522"/>
      <c r="F108" s="521" t="str">
        <f t="shared" si="22"/>
        <v/>
      </c>
      <c r="G108" s="518"/>
      <c r="H108" s="190" t="str">
        <f>IF(AND(E108="",G108=""),"",SUM(F108:G115))</f>
        <v/>
      </c>
      <c r="I108" s="191"/>
      <c r="J108" s="514"/>
      <c r="K108" s="514"/>
      <c r="L108" s="197" t="str">
        <f>IF(J108="Duplex",VLOOKUP(M108,'Características dos Cabos M EX'!$C$12:$I$14,7),(IF(J108="Triplex",VLOOKUP(M108,'Características dos Cabos M EX'!$C$15:$J$20,8),(IF(J108="Quadruplex",VLOOKUP(M108,'Características dos Cabos M EX'!$C$21:$K$27,9),(IF(J108="13",VLOOKUP(M108,'Características dos Cabos M EX'!$C$15:$L$20,10),"")))))))</f>
        <v/>
      </c>
      <c r="M108" s="350" t="str">
        <f t="shared" si="24"/>
        <v/>
      </c>
      <c r="N108" s="519"/>
      <c r="O108" s="192" t="str">
        <f t="shared" si="16"/>
        <v/>
      </c>
      <c r="P108" s="192" t="str">
        <f>IF(O108="","",SUM($O$106:O108)+$Z$106)</f>
        <v/>
      </c>
      <c r="Q108" s="192" t="str">
        <f t="shared" si="25"/>
        <v/>
      </c>
      <c r="R108" s="193" t="str">
        <f>IF(J108="Duplex",VLOOKUP(M108,'Características dos Cabos MX CH'!$C$12:$I$14,5),(IF(J108="Triplex",VLOOKUP(M108,'Características dos Cabos MX CH'!$C$15:$J$20,5),(IF(J108="Quadruplex",VLOOKUP(M108,'Características dos Cabos MX CH'!$C$21:$K$27,5),(IF(J108="13",VLOOKUP(M108,'Características dos Cabos MX CH'!$C$15:$L$20,5),"")))))))</f>
        <v/>
      </c>
      <c r="S108" s="193" t="str">
        <f>IF(J108="Duplex",VLOOKUP(M108,'Características dos Cabos MX CH'!$C$12:$I$14,6),(IF(J108="Triplex",VLOOKUP(M108,'Características dos Cabos MX CH'!$C$15:$J$20,6),(IF(J108="Quadruplex",VLOOKUP(M108,'Características dos Cabos MX CH'!$C$21:$K$27,6),(IF(J108="13",VLOOKUP(M108,'Características dos Cabos MX CH'!$C$15:$L$20,6),"")))))))</f>
        <v/>
      </c>
      <c r="T108" s="194" t="str">
        <f t="shared" si="13"/>
        <v/>
      </c>
      <c r="U108" s="447" t="str">
        <f>IF(J108="Duplex",VLOOKUP(M108,'Características dos Cabos MX CH'!$C$12:$I$14,2),(IF(J108="Triplex",VLOOKUP(M108,'Características dos Cabos MX CH'!$C$15:$J$20,2),(IF(J108="Quadruplex",VLOOKUP(M108,'Características dos Cabos MX CH'!$C$21:$K$27,2),(IF(J108="13",VLOOKUP(M108,'Características dos Cabos MX CH'!$C$15:$L$20,2),"")))))))</f>
        <v/>
      </c>
      <c r="V108" s="193" t="str">
        <f>IF(J108="Duplex",VLOOKUP(M108,'Características dos Cabos MX CH'!$C$12:$I$14,3),(IF(J108="Triplex",VLOOKUP(M108,'Características dos Cabos MX CH'!$C$15:$J$20,3),(IF(J108="Quadruplex",VLOOKUP(M108,'Características dos Cabos MX CH'!$C$21:$K$27,3),(IF(J108="13",VLOOKUP(M108,'Características dos Cabos MX CH'!$C$15:$L$20,3),"")))))))</f>
        <v/>
      </c>
      <c r="W108" s="195" t="str">
        <f t="shared" si="17"/>
        <v/>
      </c>
      <c r="X108" s="195" t="str">
        <f t="shared" si="18"/>
        <v/>
      </c>
      <c r="Y108" s="196" t="str">
        <f t="shared" si="19"/>
        <v/>
      </c>
      <c r="AA108" s="488">
        <f t="shared" si="20"/>
        <v>0</v>
      </c>
      <c r="AB108" s="488">
        <f t="shared" si="26"/>
        <v>0</v>
      </c>
      <c r="AC108" s="485"/>
      <c r="AE108" s="492" t="str">
        <f t="shared" si="23"/>
        <v/>
      </c>
      <c r="AF108" s="475">
        <f t="shared" si="15"/>
        <v>0</v>
      </c>
      <c r="AO108" s="401"/>
      <c r="AP108" s="413">
        <v>590</v>
      </c>
      <c r="AQ108" s="413">
        <v>3.98</v>
      </c>
      <c r="AR108" s="403"/>
    </row>
    <row r="109" spans="1:44" ht="15" customHeight="1">
      <c r="A109" s="696"/>
      <c r="B109" s="698"/>
      <c r="C109" s="517"/>
      <c r="D109" s="520"/>
      <c r="E109" s="522"/>
      <c r="F109" s="521" t="str">
        <f t="shared" si="22"/>
        <v/>
      </c>
      <c r="G109" s="518"/>
      <c r="H109" s="190" t="str">
        <f>IF(AND(E109="",G109=""),"",SUM(F109:G115))</f>
        <v/>
      </c>
      <c r="I109" s="191"/>
      <c r="J109" s="514"/>
      <c r="K109" s="514"/>
      <c r="L109" s="197" t="str">
        <f>IF(J109="Duplex",VLOOKUP(M109,'Características dos Cabos M EX'!$C$12:$I$14,7),(IF(J109="Triplex",VLOOKUP(M109,'Características dos Cabos M EX'!$C$15:$J$20,8),(IF(J109="Quadruplex",VLOOKUP(M109,'Características dos Cabos M EX'!$C$21:$K$27,9),(IF(J109="13",VLOOKUP(M109,'Características dos Cabos M EX'!$C$15:$L$20,10),"")))))))</f>
        <v/>
      </c>
      <c r="M109" s="350" t="str">
        <f t="shared" si="24"/>
        <v/>
      </c>
      <c r="N109" s="519"/>
      <c r="O109" s="192" t="str">
        <f t="shared" si="16"/>
        <v/>
      </c>
      <c r="P109" s="192" t="str">
        <f>IF(O109="","",SUM($O$106:O109)+$Z$106)</f>
        <v/>
      </c>
      <c r="Q109" s="192" t="str">
        <f t="shared" si="25"/>
        <v/>
      </c>
      <c r="R109" s="193" t="str">
        <f>IF(J109="Duplex",VLOOKUP(M109,'Características dos Cabos MX CH'!$C$12:$I$14,5),(IF(J109="Triplex",VLOOKUP(M109,'Características dos Cabos MX CH'!$C$15:$J$20,5),(IF(J109="Quadruplex",VLOOKUP(M109,'Características dos Cabos MX CH'!$C$21:$K$27,5),(IF(J109="13",VLOOKUP(M109,'Características dos Cabos MX CH'!$C$15:$L$20,5),"")))))))</f>
        <v/>
      </c>
      <c r="S109" s="193" t="str">
        <f>IF(J109="Duplex",VLOOKUP(M109,'Características dos Cabos MX CH'!$C$12:$I$14,6),(IF(J109="Triplex",VLOOKUP(M109,'Características dos Cabos MX CH'!$C$15:$J$20,6),(IF(J109="Quadruplex",VLOOKUP(M109,'Características dos Cabos MX CH'!$C$21:$K$27,6),(IF(J109="13",VLOOKUP(M109,'Características dos Cabos MX CH'!$C$15:$L$20,6),"")))))))</f>
        <v/>
      </c>
      <c r="T109" s="194" t="str">
        <f t="shared" si="27" ref="T109:T172">IF(OR(Q109="",R109="",S109=""),"",IF(OR($L$11="PE",$L$11="pe"),Q109/R109,IF(OR($L$11="XLPE",$L$11="xlpe"),Q109/S109,"")))</f>
        <v/>
      </c>
      <c r="U109" s="447" t="str">
        <f>IF(J109="Duplex",VLOOKUP(M109,'Características dos Cabos MX CH'!$C$12:$I$14,2),(IF(J109="Triplex",VLOOKUP(M109,'Características dos Cabos MX CH'!$C$15:$J$20,2),(IF(J109="Quadruplex",VLOOKUP(M109,'Características dos Cabos MX CH'!$C$21:$K$27,2),(IF(J109="13",VLOOKUP(M109,'Características dos Cabos MX CH'!$C$15:$L$20,2),"")))))))</f>
        <v/>
      </c>
      <c r="V109" s="193" t="str">
        <f>IF(J109="Duplex",VLOOKUP(M109,'Características dos Cabos MX CH'!$C$12:$I$14,3),(IF(J109="Triplex",VLOOKUP(M109,'Características dos Cabos MX CH'!$C$15:$J$20,3),(IF(J109="Quadruplex",VLOOKUP(M109,'Características dos Cabos MX CH'!$C$21:$K$27,3),(IF(J109="13",VLOOKUP(M109,'Características dos Cabos MX CH'!$C$15:$L$20,3),"")))))))</f>
        <v/>
      </c>
      <c r="W109" s="195" t="str">
        <f t="shared" si="17"/>
        <v/>
      </c>
      <c r="X109" s="195" t="str">
        <f t="shared" si="18"/>
        <v/>
      </c>
      <c r="Y109" s="196" t="str">
        <f t="shared" si="19"/>
        <v/>
      </c>
      <c r="AA109" s="488">
        <f t="shared" si="20"/>
        <v>0</v>
      </c>
      <c r="AB109" s="488">
        <f t="shared" si="26"/>
        <v>0</v>
      </c>
      <c r="AC109" s="485"/>
      <c r="AE109" s="492" t="str">
        <f t="shared" si="23"/>
        <v/>
      </c>
      <c r="AF109" s="475">
        <f t="shared" si="28" ref="AF109:AF172">G109</f>
        <v>0</v>
      </c>
      <c r="AO109" s="401"/>
      <c r="AP109" s="413">
        <v>601</v>
      </c>
      <c r="AQ109" s="413">
        <v>4</v>
      </c>
      <c r="AR109" s="403"/>
    </row>
    <row r="110" spans="1:44" ht="15" customHeight="1">
      <c r="A110" s="696"/>
      <c r="B110" s="698"/>
      <c r="C110" s="517"/>
      <c r="D110" s="520"/>
      <c r="E110" s="522"/>
      <c r="F110" s="521" t="str">
        <f t="shared" si="22"/>
        <v/>
      </c>
      <c r="G110" s="518"/>
      <c r="H110" s="190" t="str">
        <f>IF(AND(E110="",G110=""),"",SUM(F110:G115))</f>
        <v/>
      </c>
      <c r="I110" s="191"/>
      <c r="J110" s="514"/>
      <c r="K110" s="514"/>
      <c r="L110" s="197" t="str">
        <f>IF(J110="Duplex",VLOOKUP(M110,'Características dos Cabos M EX'!$C$12:$I$14,7),(IF(J110="Triplex",VLOOKUP(M110,'Características dos Cabos M EX'!$C$15:$J$20,8),(IF(J110="Quadruplex",VLOOKUP(M110,'Características dos Cabos M EX'!$C$21:$K$27,9),(IF(J110="13",VLOOKUP(M110,'Características dos Cabos M EX'!$C$15:$L$20,10),"")))))))</f>
        <v/>
      </c>
      <c r="M110" s="350" t="str">
        <f t="shared" si="24"/>
        <v/>
      </c>
      <c r="N110" s="519"/>
      <c r="O110" s="192" t="str">
        <f t="shared" si="29" ref="O110:O173">IF(OR(N110="",L110="",H110=""),"",N110*L110*H110)</f>
        <v/>
      </c>
      <c r="P110" s="192" t="str">
        <f>IF(O110="","",SUM($O$106:O110)+$Z$106)</f>
        <v/>
      </c>
      <c r="Q110" s="192" t="str">
        <f t="shared" si="25"/>
        <v/>
      </c>
      <c r="R110" s="193" t="str">
        <f>IF(J110="Duplex",VLOOKUP(M110,'Características dos Cabos MX CH'!$C$12:$I$14,5),(IF(J110="Triplex",VLOOKUP(M110,'Características dos Cabos MX CH'!$C$15:$J$20,5),(IF(J110="Quadruplex",VLOOKUP(M110,'Características dos Cabos MX CH'!$C$21:$K$27,5),(IF(J110="13",VLOOKUP(M110,'Características dos Cabos MX CH'!$C$15:$L$20,5),"")))))))</f>
        <v/>
      </c>
      <c r="S110" s="193" t="str">
        <f>IF(J110="Duplex",VLOOKUP(M110,'Características dos Cabos MX CH'!$C$12:$I$14,6),(IF(J110="Triplex",VLOOKUP(M110,'Características dos Cabos MX CH'!$C$15:$J$20,6),(IF(J110="Quadruplex",VLOOKUP(M110,'Características dos Cabos MX CH'!$C$21:$K$27,6),(IF(J110="13",VLOOKUP(M110,'Características dos Cabos MX CH'!$C$15:$L$20,6),"")))))))</f>
        <v/>
      </c>
      <c r="T110" s="194" t="str">
        <f t="shared" si="27"/>
        <v/>
      </c>
      <c r="U110" s="447" t="str">
        <f>IF(J110="Duplex",VLOOKUP(M110,'Características dos Cabos MX CH'!$C$12:$I$14,2),(IF(J110="Triplex",VLOOKUP(M110,'Características dos Cabos MX CH'!$C$15:$J$20,2),(IF(J110="Quadruplex",VLOOKUP(M110,'Características dos Cabos MX CH'!$C$21:$K$27,2),(IF(J110="13",VLOOKUP(M110,'Características dos Cabos MX CH'!$C$15:$L$20,2),"")))))))</f>
        <v/>
      </c>
      <c r="V110" s="193" t="str">
        <f>IF(J110="Duplex",VLOOKUP(M110,'Características dos Cabos MX CH'!$C$12:$I$14,3),(IF(J110="Triplex",VLOOKUP(M110,'Características dos Cabos MX CH'!$C$15:$J$20,3),(IF(J110="Quadruplex",VLOOKUP(M110,'Características dos Cabos MX CH'!$C$21:$K$27,3),(IF(J110="13",VLOOKUP(M110,'Características dos Cabos MX CH'!$C$15:$L$20,3),"")))))))</f>
        <v/>
      </c>
      <c r="W110" s="195" t="str">
        <f t="shared" si="30" ref="W110:W173">IF(OR(O110="",$G$15="",H110="",N110=""),"",IF(J110="Quadruplex",3*$L$13*U110*O110/1000*R110^2*8.76,IF(J110="Triplex",2*$L$13*U110*O110/1000*R110^2*8.76,IF(J110="Duplex",$L$13*U110*O110/1000*R110^2*8.76))))</f>
        <v/>
      </c>
      <c r="X110" s="195" t="str">
        <f t="shared" si="31" ref="X110:X173">IF(OR(O110="",$G$15="",H110="",N110=""),"",IF(J110="Quadruplex",3*$L$13*V110*O110/1000*R110^2*8.76,IF(J110="triplex",2*$L$13*V110*O110/1000*R110^2*8.76,IF(J110="Duplex",$L$13*V110*O110/1000*R110^2*8.76))))</f>
        <v/>
      </c>
      <c r="Y110" s="196" t="str">
        <f t="shared" si="32" ref="Y110:Y173">IF(OR(V110="",W110="",X110=""),"",IF($L$11="PE",W110,IF($L$11="XLPE",X110,"")))</f>
        <v/>
      </c>
      <c r="AA110" s="488">
        <f t="shared" si="20"/>
        <v>0</v>
      </c>
      <c r="AB110" s="488">
        <f t="shared" si="26"/>
        <v>0</v>
      </c>
      <c r="AC110" s="485"/>
      <c r="AE110" s="492" t="str">
        <f t="shared" si="23"/>
        <v/>
      </c>
      <c r="AF110" s="475">
        <f t="shared" si="28"/>
        <v>0</v>
      </c>
      <c r="AO110" s="401"/>
      <c r="AP110" s="413">
        <v>1200</v>
      </c>
      <c r="AQ110" s="413">
        <v>7</v>
      </c>
      <c r="AR110" s="403"/>
    </row>
    <row r="111" spans="1:44" ht="15" customHeight="1">
      <c r="A111" s="696"/>
      <c r="B111" s="698"/>
      <c r="C111" s="517"/>
      <c r="D111" s="520"/>
      <c r="E111" s="522"/>
      <c r="F111" s="521" t="str">
        <f t="shared" si="22"/>
        <v/>
      </c>
      <c r="G111" s="518"/>
      <c r="H111" s="190" t="str">
        <f>IF(AND(E111="",G111=""),"",SUM(F111:G115))</f>
        <v/>
      </c>
      <c r="I111" s="191"/>
      <c r="J111" s="514"/>
      <c r="K111" s="514"/>
      <c r="L111" s="197" t="str">
        <f>IF(J111="Duplex",VLOOKUP(M111,'Características dos Cabos M EX'!$C$12:$I$14,7),(IF(J111="Triplex",VLOOKUP(M111,'Características dos Cabos M EX'!$C$15:$J$20,8),(IF(J111="Quadruplex",VLOOKUP(M111,'Características dos Cabos M EX'!$C$21:$K$27,9),(IF(J111="13",VLOOKUP(M111,'Características dos Cabos M EX'!$C$15:$L$20,10),"")))))))</f>
        <v/>
      </c>
      <c r="M111" s="350" t="str">
        <f t="shared" si="24"/>
        <v/>
      </c>
      <c r="N111" s="519"/>
      <c r="O111" s="192" t="str">
        <f t="shared" si="29"/>
        <v/>
      </c>
      <c r="P111" s="192" t="str">
        <f>IF(O111="","",SUM($O$106:O111)+$Z$106)</f>
        <v/>
      </c>
      <c r="Q111" s="192" t="str">
        <f t="shared" si="25"/>
        <v/>
      </c>
      <c r="R111" s="193" t="str">
        <f>IF(J111="Duplex",VLOOKUP(M111,'Características dos Cabos MX CH'!$C$12:$I$14,5),(IF(J111="Triplex",VLOOKUP(M111,'Características dos Cabos MX CH'!$C$15:$J$20,5),(IF(J111="Quadruplex",VLOOKUP(M111,'Características dos Cabos MX CH'!$C$21:$K$27,5),(IF(J111="13",VLOOKUP(M111,'Características dos Cabos MX CH'!$C$15:$L$20,5),"")))))))</f>
        <v/>
      </c>
      <c r="S111" s="193" t="str">
        <f>IF(J111="Duplex",VLOOKUP(M111,'Características dos Cabos MX CH'!$C$12:$I$14,6),(IF(J111="Triplex",VLOOKUP(M111,'Características dos Cabos MX CH'!$C$15:$J$20,6),(IF(J111="Quadruplex",VLOOKUP(M111,'Características dos Cabos MX CH'!$C$21:$K$27,6),(IF(J111="13",VLOOKUP(M111,'Características dos Cabos MX CH'!$C$15:$L$20,6),"")))))))</f>
        <v/>
      </c>
      <c r="T111" s="194" t="str">
        <f t="shared" si="27"/>
        <v/>
      </c>
      <c r="U111" s="447" t="str">
        <f>IF(J111="Duplex",VLOOKUP(M111,'Características dos Cabos MX CH'!$C$12:$I$14,2),(IF(J111="Triplex",VLOOKUP(M111,'Características dos Cabos MX CH'!$C$15:$J$20,2),(IF(J111="Quadruplex",VLOOKUP(M111,'Características dos Cabos MX CH'!$C$21:$K$27,2),(IF(J111="13",VLOOKUP(M111,'Características dos Cabos MX CH'!$C$15:$L$20,2),"")))))))</f>
        <v/>
      </c>
      <c r="V111" s="193" t="str">
        <f>IF(J111="Duplex",VLOOKUP(M111,'Características dos Cabos MX CH'!$C$12:$I$14,3),(IF(J111="Triplex",VLOOKUP(M111,'Características dos Cabos MX CH'!$C$15:$J$20,3),(IF(J111="Quadruplex",VLOOKUP(M111,'Características dos Cabos MX CH'!$C$21:$K$27,3),(IF(J111="13",VLOOKUP(M111,'Características dos Cabos MX CH'!$C$15:$L$20,3),"")))))))</f>
        <v/>
      </c>
      <c r="W111" s="195" t="str">
        <f t="shared" si="30"/>
        <v/>
      </c>
      <c r="X111" s="195" t="str">
        <f t="shared" si="31"/>
        <v/>
      </c>
      <c r="Y111" s="196" t="str">
        <f t="shared" si="32"/>
        <v/>
      </c>
      <c r="AA111" s="488">
        <f t="shared" si="20"/>
        <v>0</v>
      </c>
      <c r="AB111" s="488">
        <f t="shared" si="26"/>
        <v>0</v>
      </c>
      <c r="AC111" s="485"/>
      <c r="AE111" s="492" t="str">
        <f t="shared" si="23"/>
        <v/>
      </c>
      <c r="AF111" s="475">
        <f t="shared" si="28"/>
        <v>0</v>
      </c>
      <c r="AO111" s="401"/>
      <c r="AP111" s="413">
        <v>2000</v>
      </c>
      <c r="AQ111" s="413">
        <v>10</v>
      </c>
      <c r="AR111" s="403"/>
    </row>
    <row r="112" spans="1:44" ht="15" customHeight="1">
      <c r="A112" s="696"/>
      <c r="B112" s="698"/>
      <c r="C112" s="517"/>
      <c r="D112" s="520"/>
      <c r="E112" s="522"/>
      <c r="F112" s="521" t="str">
        <f t="shared" si="22"/>
        <v/>
      </c>
      <c r="G112" s="518"/>
      <c r="H112" s="190" t="str">
        <f>IF(AND(E112="",G112=""),"",SUM(F112:G115))</f>
        <v/>
      </c>
      <c r="I112" s="191"/>
      <c r="J112" s="514"/>
      <c r="K112" s="514"/>
      <c r="L112" s="197" t="str">
        <f>IF(J112="Duplex",VLOOKUP(M112,'Características dos Cabos M EX'!$C$12:$I$14,7),(IF(J112="Triplex",VLOOKUP(M112,'Características dos Cabos M EX'!$C$15:$J$20,8),(IF(J112="Quadruplex",VLOOKUP(M112,'Características dos Cabos M EX'!$C$21:$K$27,9),(IF(J112="13",VLOOKUP(M112,'Características dos Cabos M EX'!$C$15:$L$20,10),"")))))))</f>
        <v/>
      </c>
      <c r="M112" s="350" t="str">
        <f t="shared" si="24"/>
        <v/>
      </c>
      <c r="N112" s="519"/>
      <c r="O112" s="192" t="str">
        <f t="shared" si="29"/>
        <v/>
      </c>
      <c r="P112" s="192" t="str">
        <f>IF(O112="","",SUM($O$106:O112)+$Z$106)</f>
        <v/>
      </c>
      <c r="Q112" s="192" t="str">
        <f t="shared" si="25"/>
        <v/>
      </c>
      <c r="R112" s="193" t="str">
        <f>IF(J112="Duplex",VLOOKUP(M112,'Características dos Cabos MX CH'!$C$12:$I$14,5),(IF(J112="Triplex",VLOOKUP(M112,'Características dos Cabos MX CH'!$C$15:$J$20,5),(IF(J112="Quadruplex",VLOOKUP(M112,'Características dos Cabos MX CH'!$C$21:$K$27,5),(IF(J112="13",VLOOKUP(M112,'Características dos Cabos MX CH'!$C$15:$L$20,5),"")))))))</f>
        <v/>
      </c>
      <c r="S112" s="193" t="str">
        <f>IF(J112="Duplex",VLOOKUP(M112,'Características dos Cabos MX CH'!$C$12:$I$14,6),(IF(J112="Triplex",VLOOKUP(M112,'Características dos Cabos MX CH'!$C$15:$J$20,6),(IF(J112="Quadruplex",VLOOKUP(M112,'Características dos Cabos MX CH'!$C$21:$K$27,6),(IF(J112="13",VLOOKUP(M112,'Características dos Cabos MX CH'!$C$15:$L$20,6),"")))))))</f>
        <v/>
      </c>
      <c r="T112" s="194" t="str">
        <f t="shared" si="27"/>
        <v/>
      </c>
      <c r="U112" s="447" t="str">
        <f>IF(J112="Duplex",VLOOKUP(M112,'Características dos Cabos MX CH'!$C$12:$I$14,2),(IF(J112="Triplex",VLOOKUP(M112,'Características dos Cabos MX CH'!$C$15:$J$20,2),(IF(J112="Quadruplex",VLOOKUP(M112,'Características dos Cabos MX CH'!$C$21:$K$27,2),(IF(J112="13",VLOOKUP(M112,'Características dos Cabos MX CH'!$C$15:$L$20,2),"")))))))</f>
        <v/>
      </c>
      <c r="V112" s="193" t="str">
        <f>IF(J112="Duplex",VLOOKUP(M112,'Características dos Cabos MX CH'!$C$12:$I$14,3),(IF(J112="Triplex",VLOOKUP(M112,'Características dos Cabos MX CH'!$C$15:$J$20,3),(IF(J112="Quadruplex",VLOOKUP(M112,'Características dos Cabos MX CH'!$C$21:$K$27,3),(IF(J112="13",VLOOKUP(M112,'Características dos Cabos MX CH'!$C$15:$L$20,3),"")))))))</f>
        <v/>
      </c>
      <c r="W112" s="195" t="str">
        <f t="shared" si="30"/>
        <v/>
      </c>
      <c r="X112" s="195" t="str">
        <f t="shared" si="31"/>
        <v/>
      </c>
      <c r="Y112" s="196" t="str">
        <f t="shared" si="32"/>
        <v/>
      </c>
      <c r="AA112" s="488">
        <f t="shared" si="20"/>
        <v>0</v>
      </c>
      <c r="AB112" s="488">
        <f t="shared" si="26"/>
        <v>0</v>
      </c>
      <c r="AC112" s="485"/>
      <c r="AE112" s="492" t="str">
        <f t="shared" si="23"/>
        <v/>
      </c>
      <c r="AF112" s="475">
        <f t="shared" si="28"/>
        <v>0</v>
      </c>
      <c r="AO112" s="408"/>
      <c r="AP112" s="409"/>
      <c r="AQ112" s="409"/>
      <c r="AR112" s="410"/>
    </row>
    <row r="113" spans="1:32" ht="15" customHeight="1">
      <c r="A113" s="696"/>
      <c r="B113" s="698"/>
      <c r="C113" s="517"/>
      <c r="D113" s="520"/>
      <c r="E113" s="522"/>
      <c r="F113" s="521" t="str">
        <f t="shared" si="22"/>
        <v/>
      </c>
      <c r="G113" s="518"/>
      <c r="H113" s="190" t="str">
        <f>IF(AND(E113="",G113=""),"",SUM(F113:G115))</f>
        <v/>
      </c>
      <c r="I113" s="191"/>
      <c r="J113" s="514"/>
      <c r="K113" s="514"/>
      <c r="L113" s="197" t="str">
        <f>IF(J113="Duplex",VLOOKUP(M113,'Características dos Cabos M EX'!$C$12:$I$14,7),(IF(J113="Triplex",VLOOKUP(M113,'Características dos Cabos M EX'!$C$15:$J$20,8),(IF(J113="Quadruplex",VLOOKUP(M113,'Características dos Cabos M EX'!$C$21:$K$27,9),(IF(J113="13",VLOOKUP(M113,'Características dos Cabos M EX'!$C$15:$L$20,10),"")))))))</f>
        <v/>
      </c>
      <c r="M113" s="350" t="str">
        <f t="shared" si="24"/>
        <v/>
      </c>
      <c r="N113" s="519"/>
      <c r="O113" s="192" t="str">
        <f t="shared" si="29"/>
        <v/>
      </c>
      <c r="P113" s="192" t="str">
        <f>IF(O113="","",SUM($O$106:O113)+$Z$106)</f>
        <v/>
      </c>
      <c r="Q113" s="192" t="str">
        <f t="shared" si="25"/>
        <v/>
      </c>
      <c r="R113" s="193" t="str">
        <f>IF(J113="Duplex",VLOOKUP(M113,'Características dos Cabos MX CH'!$C$12:$I$14,5),(IF(J113="Triplex",VLOOKUP(M113,'Características dos Cabos MX CH'!$C$15:$J$20,5),(IF(J113="Quadruplex",VLOOKUP(M113,'Características dos Cabos MX CH'!$C$21:$K$27,5),(IF(J113="13",VLOOKUP(M113,'Características dos Cabos MX CH'!$C$15:$L$20,5),"")))))))</f>
        <v/>
      </c>
      <c r="S113" s="193" t="str">
        <f>IF(J113="Duplex",VLOOKUP(M113,'Características dos Cabos MX CH'!$C$12:$I$14,6),(IF(J113="Triplex",VLOOKUP(M113,'Características dos Cabos MX CH'!$C$15:$J$20,6),(IF(J113="Quadruplex",VLOOKUP(M113,'Características dos Cabos MX CH'!$C$21:$K$27,6),(IF(J113="13",VLOOKUP(M113,'Características dos Cabos MX CH'!$C$15:$L$20,6),"")))))))</f>
        <v/>
      </c>
      <c r="T113" s="194" t="str">
        <f t="shared" si="27"/>
        <v/>
      </c>
      <c r="U113" s="447" t="str">
        <f>IF(J113="Duplex",VLOOKUP(M113,'Características dos Cabos MX CH'!$C$12:$I$14,2),(IF(J113="Triplex",VLOOKUP(M113,'Características dos Cabos MX CH'!$C$15:$J$20,2),(IF(J113="Quadruplex",VLOOKUP(M113,'Características dos Cabos MX CH'!$C$21:$K$27,2),(IF(J113="13",VLOOKUP(M113,'Características dos Cabos MX CH'!$C$15:$L$20,2),"")))))))</f>
        <v/>
      </c>
      <c r="V113" s="193" t="str">
        <f>IF(J113="Duplex",VLOOKUP(M113,'Características dos Cabos MX CH'!$C$12:$I$14,3),(IF(J113="Triplex",VLOOKUP(M113,'Características dos Cabos MX CH'!$C$15:$J$20,3),(IF(J113="Quadruplex",VLOOKUP(M113,'Características dos Cabos MX CH'!$C$21:$K$27,3),(IF(J113="13",VLOOKUP(M113,'Características dos Cabos MX CH'!$C$15:$L$20,3),"")))))))</f>
        <v/>
      </c>
      <c r="W113" s="195" t="str">
        <f t="shared" si="30"/>
        <v/>
      </c>
      <c r="X113" s="195" t="str">
        <f t="shared" si="31"/>
        <v/>
      </c>
      <c r="Y113" s="196" t="str">
        <f t="shared" si="32"/>
        <v/>
      </c>
      <c r="AA113" s="488">
        <f t="shared" si="20"/>
        <v>0</v>
      </c>
      <c r="AB113" s="488">
        <f t="shared" si="26"/>
        <v>0</v>
      </c>
      <c r="AC113" s="485"/>
      <c r="AE113" s="492" t="str">
        <f t="shared" si="23"/>
        <v/>
      </c>
      <c r="AF113" s="475">
        <f t="shared" si="28"/>
        <v>0</v>
      </c>
    </row>
    <row r="114" spans="1:32" ht="15" customHeight="1">
      <c r="A114" s="696"/>
      <c r="B114" s="698"/>
      <c r="C114" s="517"/>
      <c r="D114" s="520"/>
      <c r="E114" s="522"/>
      <c r="F114" s="521" t="str">
        <f t="shared" si="22"/>
        <v/>
      </c>
      <c r="G114" s="518"/>
      <c r="H114" s="190" t="str">
        <f>IF(AND(E114="",G114=""),"",SUM(F114:G115))</f>
        <v/>
      </c>
      <c r="I114" s="191"/>
      <c r="J114" s="514"/>
      <c r="K114" s="514"/>
      <c r="L114" s="197" t="str">
        <f>IF(J114="Duplex",VLOOKUP(M114,'Características dos Cabos M EX'!$C$12:$I$14,7),(IF(J114="Triplex",VLOOKUP(M114,'Características dos Cabos M EX'!$C$15:$J$20,8),(IF(J114="Quadruplex",VLOOKUP(M114,'Características dos Cabos M EX'!$C$21:$K$27,9),(IF(J114="13",VLOOKUP(M114,'Características dos Cabos M EX'!$C$15:$L$20,10),"")))))))</f>
        <v/>
      </c>
      <c r="M114" s="350" t="str">
        <f t="shared" si="24"/>
        <v/>
      </c>
      <c r="N114" s="519"/>
      <c r="O114" s="192" t="str">
        <f t="shared" si="29"/>
        <v/>
      </c>
      <c r="P114" s="192" t="str">
        <f>IF(O114="","",SUM($O$106:O114)+$Z$106)</f>
        <v/>
      </c>
      <c r="Q114" s="192" t="str">
        <f t="shared" si="25"/>
        <v/>
      </c>
      <c r="R114" s="193" t="str">
        <f>IF(J114="Duplex",VLOOKUP(M114,'Características dos Cabos MX CH'!$C$12:$I$14,5),(IF(J114="Triplex",VLOOKUP(M114,'Características dos Cabos MX CH'!$C$15:$J$20,5),(IF(J114="Quadruplex",VLOOKUP(M114,'Características dos Cabos MX CH'!$C$21:$K$27,5),(IF(J114="13",VLOOKUP(M114,'Características dos Cabos MX CH'!$C$15:$L$20,5),"")))))))</f>
        <v/>
      </c>
      <c r="S114" s="193" t="str">
        <f>IF(J114="Duplex",VLOOKUP(M114,'Características dos Cabos MX CH'!$C$12:$I$14,6),(IF(J114="Triplex",VLOOKUP(M114,'Características dos Cabos MX CH'!$C$15:$J$20,6),(IF(J114="Quadruplex",VLOOKUP(M114,'Características dos Cabos MX CH'!$C$21:$K$27,6),(IF(J114="13",VLOOKUP(M114,'Características dos Cabos MX CH'!$C$15:$L$20,6),"")))))))</f>
        <v/>
      </c>
      <c r="T114" s="194" t="str">
        <f t="shared" si="27"/>
        <v/>
      </c>
      <c r="U114" s="447" t="str">
        <f>IF(J114="Duplex",VLOOKUP(M114,'Características dos Cabos MX CH'!$C$12:$I$14,2),(IF(J114="Triplex",VLOOKUP(M114,'Características dos Cabos MX CH'!$C$15:$J$20,2),(IF(J114="Quadruplex",VLOOKUP(M114,'Características dos Cabos MX CH'!$C$21:$K$27,2),(IF(J114="13",VLOOKUP(M114,'Características dos Cabos MX CH'!$C$15:$L$20,2),"")))))))</f>
        <v/>
      </c>
      <c r="V114" s="193" t="str">
        <f>IF(J114="Duplex",VLOOKUP(M114,'Características dos Cabos MX CH'!$C$12:$I$14,3),(IF(J114="Triplex",VLOOKUP(M114,'Características dos Cabos MX CH'!$C$15:$J$20,3),(IF(J114="Quadruplex",VLOOKUP(M114,'Características dos Cabos MX CH'!$C$21:$K$27,3),(IF(J114="13",VLOOKUP(M114,'Características dos Cabos MX CH'!$C$15:$L$20,3),"")))))))</f>
        <v/>
      </c>
      <c r="W114" s="195" t="str">
        <f t="shared" si="30"/>
        <v/>
      </c>
      <c r="X114" s="195" t="str">
        <f t="shared" si="31"/>
        <v/>
      </c>
      <c r="Y114" s="196" t="str">
        <f t="shared" si="32"/>
        <v/>
      </c>
      <c r="AA114" s="488">
        <f t="shared" si="33" ref="AA114:AA177">D114</f>
        <v>0</v>
      </c>
      <c r="AB114" s="488">
        <f t="shared" si="26"/>
        <v>0</v>
      </c>
      <c r="AC114" s="485"/>
      <c r="AE114" s="492" t="str">
        <f t="shared" si="23"/>
        <v/>
      </c>
      <c r="AF114" s="475">
        <f t="shared" si="28"/>
        <v>0</v>
      </c>
    </row>
    <row r="115" spans="1:32" ht="15" customHeight="1" thickBot="1">
      <c r="A115" s="696"/>
      <c r="B115" s="699"/>
      <c r="C115" s="523"/>
      <c r="D115" s="524"/>
      <c r="E115" s="523"/>
      <c r="F115" s="526" t="str">
        <f t="shared" si="22"/>
        <v/>
      </c>
      <c r="G115" s="527"/>
      <c r="H115" s="200" t="str">
        <f>IF(AND(E115="",G115=""),"",SUM(F115:G115))</f>
        <v/>
      </c>
      <c r="I115" s="201"/>
      <c r="J115" s="528"/>
      <c r="K115" s="528"/>
      <c r="L115" s="202" t="str">
        <f>IF(J115="Duplex",VLOOKUP(M115,'Características dos Cabos M EX'!$C$12:$I$14,7),(IF(J115="Triplex",VLOOKUP(M115,'Características dos Cabos M EX'!$C$15:$J$20,8),(IF(J115="Quadruplex",VLOOKUP(M115,'Características dos Cabos M EX'!$C$21:$K$27,9),(IF(J115="13",VLOOKUP(M115,'Características dos Cabos M EX'!$C$15:$L$20,10),"")))))))</f>
        <v/>
      </c>
      <c r="M115" s="353" t="str">
        <f t="shared" si="24"/>
        <v/>
      </c>
      <c r="N115" s="529"/>
      <c r="O115" s="203" t="str">
        <f t="shared" si="29"/>
        <v/>
      </c>
      <c r="P115" s="203" t="str">
        <f>IF(O115="","",SUM($O$106:O115)+$Z$106)</f>
        <v/>
      </c>
      <c r="Q115" s="203" t="str">
        <f t="shared" si="25"/>
        <v/>
      </c>
      <c r="R115" s="204" t="str">
        <f>IF(J115="Duplex",VLOOKUP(M115,'Características dos Cabos MX CH'!$C$12:$I$14,5),(IF(J115="Triplex",VLOOKUP(M115,'Características dos Cabos MX CH'!$C$15:$J$20,5),(IF(J115="Quadruplex",VLOOKUP(M115,'Características dos Cabos MX CH'!$C$21:$K$27,5),(IF(J115="13",VLOOKUP(M115,'Características dos Cabos MX CH'!$C$15:$L$20,5),"")))))))</f>
        <v/>
      </c>
      <c r="S115" s="204" t="str">
        <f>IF(J115="Duplex",VLOOKUP(M115,'Características dos Cabos MX CH'!$C$12:$I$14,6),(IF(J115="Triplex",VLOOKUP(M115,'Características dos Cabos MX CH'!$C$15:$J$20,6),(IF(J115="Quadruplex",VLOOKUP(M115,'Características dos Cabos MX CH'!$C$21:$K$27,6),(IF(J115="13",VLOOKUP(M115,'Características dos Cabos MX CH'!$C$15:$L$20,6),"")))))))</f>
        <v/>
      </c>
      <c r="T115" s="205" t="str">
        <f t="shared" si="27"/>
        <v/>
      </c>
      <c r="U115" s="448" t="str">
        <f>IF(J115="Duplex",VLOOKUP(M115,'Características dos Cabos MX CH'!$C$12:$I$14,2),(IF(J115="Triplex",VLOOKUP(M115,'Características dos Cabos MX CH'!$C$15:$J$20,2),(IF(J115="Quadruplex",VLOOKUP(M115,'Características dos Cabos MX CH'!$C$21:$K$27,2),(IF(J115="13",VLOOKUP(M115,'Características dos Cabos MX CH'!$C$15:$L$20,2),"")))))))</f>
        <v/>
      </c>
      <c r="V115" s="204" t="str">
        <f>IF(J115="Duplex",VLOOKUP(M115,'Características dos Cabos MX CH'!$C$12:$I$14,3),(IF(J115="Triplex",VLOOKUP(M115,'Características dos Cabos MX CH'!$C$15:$J$20,3),(IF(J115="Quadruplex",VLOOKUP(M115,'Características dos Cabos MX CH'!$C$21:$K$27,3),(IF(J115="13",VLOOKUP(M115,'Características dos Cabos MX CH'!$C$15:$L$20,3),"")))))))</f>
        <v/>
      </c>
      <c r="W115" s="206" t="str">
        <f t="shared" si="30"/>
        <v/>
      </c>
      <c r="X115" s="206" t="str">
        <f t="shared" si="31"/>
        <v/>
      </c>
      <c r="Y115" s="207" t="str">
        <f t="shared" si="32"/>
        <v/>
      </c>
      <c r="AA115" s="488">
        <f t="shared" si="33"/>
        <v>0</v>
      </c>
      <c r="AB115" s="488">
        <f t="shared" si="26"/>
        <v>0</v>
      </c>
      <c r="AC115" s="485"/>
      <c r="AE115" s="492" t="str">
        <f t="shared" si="23"/>
        <v/>
      </c>
      <c r="AF115" s="475">
        <f t="shared" si="28"/>
        <v>0</v>
      </c>
    </row>
    <row r="116" spans="1:32" ht="15" customHeight="1" thickTop="1">
      <c r="A116" s="696"/>
      <c r="B116" s="700" t="str">
        <f>CONCATENATE("Ramal 8 - Derivando no ponto ",C116)</f>
        <v xml:space="preserve">Ramal 8 - Derivando no ponto </v>
      </c>
      <c r="C116" s="532"/>
      <c r="D116" s="536"/>
      <c r="E116" s="537"/>
      <c r="F116" s="538" t="str">
        <f t="shared" si="22"/>
        <v/>
      </c>
      <c r="G116" s="539"/>
      <c r="H116" s="209" t="str">
        <f>IF(AND(E116="",G116=""),"",SUM(F116:G125))</f>
        <v/>
      </c>
      <c r="I116" s="210"/>
      <c r="J116" s="535"/>
      <c r="K116" s="535"/>
      <c r="L116" s="211" t="str">
        <f>IF(J116="Duplex",VLOOKUP(M116,'Características dos Cabos M EX'!$C$12:$I$14,7),(IF(J116="Triplex",VLOOKUP(M116,'Características dos Cabos M EX'!$C$15:$J$20,8),(IF(J116="Quadruplex",VLOOKUP(M116,'Características dos Cabos M EX'!$C$21:$K$27,9),(IF(J116="13",VLOOKUP(M116,'Características dos Cabos M EX'!$C$15:$L$20,10),"")))))))</f>
        <v/>
      </c>
      <c r="M116" s="354" t="str">
        <f t="shared" si="24"/>
        <v/>
      </c>
      <c r="N116" s="540"/>
      <c r="O116" s="212" t="str">
        <f t="shared" si="29"/>
        <v/>
      </c>
      <c r="P116" s="212" t="str">
        <f>IF(O116="","",O116+VLOOKUP(C116,$D$21:$Q$115,13,FALSE))</f>
        <v/>
      </c>
      <c r="Q116" s="212" t="str">
        <f t="shared" si="25"/>
        <v/>
      </c>
      <c r="R116" s="213" t="str">
        <f>IF(J116="Duplex",VLOOKUP(M116,'Características dos Cabos MX CH'!$C$12:$I$14,5),(IF(J116="Triplex",VLOOKUP(M116,'Características dos Cabos MX CH'!$C$15:$J$20,5),(IF(J116="Quadruplex",VLOOKUP(M116,'Características dos Cabos MX CH'!$C$21:$K$27,5),(IF(J116="13",VLOOKUP(M116,'Características dos Cabos MX CH'!$C$15:$L$20,5),"")))))))</f>
        <v/>
      </c>
      <c r="S116" s="213" t="str">
        <f>IF(J116="Duplex",VLOOKUP(M116,'Características dos Cabos MX CH'!$C$12:$I$14,6),(IF(J116="Triplex",VLOOKUP(M116,'Características dos Cabos MX CH'!$C$15:$J$20,6),(IF(J116="Quadruplex",VLOOKUP(M116,'Características dos Cabos MX CH'!$C$21:$K$27,6),(IF(J116="13",VLOOKUP(M116,'Características dos Cabos MX CH'!$C$15:$L$20,6),"")))))))</f>
        <v/>
      </c>
      <c r="T116" s="214" t="str">
        <f t="shared" si="27"/>
        <v/>
      </c>
      <c r="U116" s="450" t="str">
        <f>IF(J116="Duplex",VLOOKUP(M116,'Características dos Cabos MX CH'!$C$12:$I$14,2),(IF(J116="Triplex",VLOOKUP(M116,'Características dos Cabos MX CH'!$C$15:$J$20,2),(IF(J116="Quadruplex",VLOOKUP(M116,'Características dos Cabos MX CH'!$C$21:$K$27,2),(IF(J116="13",VLOOKUP(M116,'Características dos Cabos MX CH'!$C$15:$L$20,2),"")))))))</f>
        <v/>
      </c>
      <c r="V116" s="213" t="str">
        <f>IF(J116="Duplex",VLOOKUP(M116,'Características dos Cabos MX CH'!$C$12:$I$14,3),(IF(J116="Triplex",VLOOKUP(M116,'Características dos Cabos MX CH'!$C$15:$J$20,3),(IF(J116="Quadruplex",VLOOKUP(M116,'Características dos Cabos MX CH'!$C$21:$K$27,3),(IF(J116="13",VLOOKUP(M116,'Características dos Cabos MX CH'!$C$15:$L$20,3),"")))))))</f>
        <v/>
      </c>
      <c r="W116" s="215" t="str">
        <f t="shared" si="30"/>
        <v/>
      </c>
      <c r="X116" s="215" t="str">
        <f t="shared" si="31"/>
        <v/>
      </c>
      <c r="Y116" s="216" t="str">
        <f t="shared" si="32"/>
        <v/>
      </c>
      <c r="Z116" s="463" t="str">
        <f>IF(O116="","",VLOOKUP(C116,$D$21:$P$115,13,FALSE))</f>
        <v/>
      </c>
      <c r="AA116" s="488">
        <f t="shared" si="33"/>
        <v>0</v>
      </c>
      <c r="AB116" s="488">
        <f t="shared" si="26"/>
        <v>0</v>
      </c>
      <c r="AC116" s="485"/>
      <c r="AE116" s="492" t="str">
        <f t="shared" si="23"/>
        <v/>
      </c>
      <c r="AF116" s="475">
        <f t="shared" si="28"/>
        <v>0</v>
      </c>
    </row>
    <row r="117" spans="1:32" ht="15" customHeight="1">
      <c r="A117" s="696"/>
      <c r="B117" s="698"/>
      <c r="C117" s="517"/>
      <c r="D117" s="520"/>
      <c r="E117" s="522"/>
      <c r="F117" s="521" t="str">
        <f t="shared" si="34" ref="F117:F180">IF(OR(E117="",$G$11=""),"",E117*$G$11*($J$11/100+1)^($J$15-1))</f>
        <v/>
      </c>
      <c r="G117" s="518"/>
      <c r="H117" s="190" t="str">
        <f>IF(AND(E117="",G117=""),"",SUM(F117:G125))</f>
        <v/>
      </c>
      <c r="I117" s="191"/>
      <c r="J117" s="514"/>
      <c r="K117" s="514"/>
      <c r="L117" s="197" t="str">
        <f>IF(J117="Duplex",VLOOKUP(M117,'Características dos Cabos M EX'!$C$12:$I$14,7),(IF(J117="Triplex",VLOOKUP(M117,'Características dos Cabos M EX'!$C$15:$J$20,8),(IF(J117="Quadruplex",VLOOKUP(M117,'Características dos Cabos M EX'!$C$21:$K$27,9),(IF(J117="13",VLOOKUP(M117,'Características dos Cabos M EX'!$C$15:$L$20,10),"")))))))</f>
        <v/>
      </c>
      <c r="M117" s="350" t="str">
        <f t="shared" si="24"/>
        <v/>
      </c>
      <c r="N117" s="519"/>
      <c r="O117" s="192" t="str">
        <f t="shared" si="29"/>
        <v/>
      </c>
      <c r="P117" s="192" t="str">
        <f>IF(O117="","",SUM($O$116:O117)+$Z$116)</f>
        <v/>
      </c>
      <c r="Q117" s="192" t="str">
        <f t="shared" si="25"/>
        <v/>
      </c>
      <c r="R117" s="193" t="str">
        <f>IF(J117="Duplex",VLOOKUP(M117,'Características dos Cabos MX CH'!$C$12:$I$14,5),(IF(J117="Triplex",VLOOKUP(M117,'Características dos Cabos MX CH'!$C$15:$J$20,5),(IF(J117="Quadruplex",VLOOKUP(M117,'Características dos Cabos MX CH'!$C$21:$K$27,5),(IF(J117="13",VLOOKUP(M117,'Características dos Cabos MX CH'!$C$15:$L$20,5),"")))))))</f>
        <v/>
      </c>
      <c r="S117" s="193" t="str">
        <f>IF(J117="Duplex",VLOOKUP(M117,'Características dos Cabos MX CH'!$C$12:$I$14,6),(IF(J117="Triplex",VLOOKUP(M117,'Características dos Cabos MX CH'!$C$15:$J$20,6),(IF(J117="Quadruplex",VLOOKUP(M117,'Características dos Cabos MX CH'!$C$21:$K$27,6),(IF(J117="13",VLOOKUP(M117,'Características dos Cabos MX CH'!$C$15:$L$20,6),"")))))))</f>
        <v/>
      </c>
      <c r="T117" s="194" t="str">
        <f t="shared" si="27"/>
        <v/>
      </c>
      <c r="U117" s="447" t="str">
        <f>IF(J117="Duplex",VLOOKUP(M117,'Características dos Cabos MX CH'!$C$12:$I$14,2),(IF(J117="Triplex",VLOOKUP(M117,'Características dos Cabos MX CH'!$C$15:$J$20,2),(IF(J117="Quadruplex",VLOOKUP(M117,'Características dos Cabos MX CH'!$C$21:$K$27,2),(IF(J117="13",VLOOKUP(M117,'Características dos Cabos MX CH'!$C$15:$L$20,2),"")))))))</f>
        <v/>
      </c>
      <c r="V117" s="193" t="str">
        <f>IF(J117="Duplex",VLOOKUP(M117,'Características dos Cabos MX CH'!$C$12:$I$14,3),(IF(J117="Triplex",VLOOKUP(M117,'Características dos Cabos MX CH'!$C$15:$J$20,3),(IF(J117="Quadruplex",VLOOKUP(M117,'Características dos Cabos MX CH'!$C$21:$K$27,3),(IF(J117="13",VLOOKUP(M117,'Características dos Cabos MX CH'!$C$15:$L$20,3),"")))))))</f>
        <v/>
      </c>
      <c r="W117" s="195" t="str">
        <f t="shared" si="30"/>
        <v/>
      </c>
      <c r="X117" s="195" t="str">
        <f t="shared" si="31"/>
        <v/>
      </c>
      <c r="Y117" s="196" t="str">
        <f t="shared" si="32"/>
        <v/>
      </c>
      <c r="AA117" s="488">
        <f t="shared" si="33"/>
        <v>0</v>
      </c>
      <c r="AB117" s="488">
        <f t="shared" si="26"/>
        <v>0</v>
      </c>
      <c r="AC117" s="485"/>
      <c r="AE117" s="492" t="str">
        <f t="shared" si="23"/>
        <v/>
      </c>
      <c r="AF117" s="475">
        <f t="shared" si="28"/>
        <v>0</v>
      </c>
    </row>
    <row r="118" spans="1:32" ht="15" customHeight="1">
      <c r="A118" s="696"/>
      <c r="B118" s="698"/>
      <c r="C118" s="517"/>
      <c r="D118" s="520"/>
      <c r="E118" s="522"/>
      <c r="F118" s="521" t="str">
        <f t="shared" si="34"/>
        <v/>
      </c>
      <c r="G118" s="518"/>
      <c r="H118" s="190" t="str">
        <f>IF(AND(E118="",G118=""),"",SUM(F118:G125))</f>
        <v/>
      </c>
      <c r="I118" s="191"/>
      <c r="J118" s="514"/>
      <c r="K118" s="514"/>
      <c r="L118" s="197" t="str">
        <f>IF(J118="Duplex",VLOOKUP(M118,'Características dos Cabos M EX'!$C$12:$I$14,7),(IF(J118="Triplex",VLOOKUP(M118,'Características dos Cabos M EX'!$C$15:$J$20,8),(IF(J118="Quadruplex",VLOOKUP(M118,'Características dos Cabos M EX'!$C$21:$K$27,9),(IF(J118="13",VLOOKUP(M118,'Características dos Cabos M EX'!$C$15:$L$20,10),"")))))))</f>
        <v/>
      </c>
      <c r="M118" s="350" t="str">
        <f t="shared" si="24"/>
        <v/>
      </c>
      <c r="N118" s="519"/>
      <c r="O118" s="192" t="str">
        <f t="shared" si="29"/>
        <v/>
      </c>
      <c r="P118" s="192" t="str">
        <f>IF(O118="","",SUM($O$116:O118)+$Z$116)</f>
        <v/>
      </c>
      <c r="Q118" s="192" t="str">
        <f t="shared" si="25"/>
        <v/>
      </c>
      <c r="R118" s="193" t="str">
        <f>IF(J118="Duplex",VLOOKUP(M118,'Características dos Cabos MX CH'!$C$12:$I$14,5),(IF(J118="Triplex",VLOOKUP(M118,'Características dos Cabos MX CH'!$C$15:$J$20,5),(IF(J118="Quadruplex",VLOOKUP(M118,'Características dos Cabos MX CH'!$C$21:$K$27,5),(IF(J118="13",VLOOKUP(M118,'Características dos Cabos MX CH'!$C$15:$L$20,5),"")))))))</f>
        <v/>
      </c>
      <c r="S118" s="193" t="str">
        <f>IF(J118="Duplex",VLOOKUP(M118,'Características dos Cabos MX CH'!$C$12:$I$14,6),(IF(J118="Triplex",VLOOKUP(M118,'Características dos Cabos MX CH'!$C$15:$J$20,6),(IF(J118="Quadruplex",VLOOKUP(M118,'Características dos Cabos MX CH'!$C$21:$K$27,6),(IF(J118="13",VLOOKUP(M118,'Características dos Cabos MX CH'!$C$15:$L$20,6),"")))))))</f>
        <v/>
      </c>
      <c r="T118" s="194" t="str">
        <f t="shared" si="27"/>
        <v/>
      </c>
      <c r="U118" s="447" t="str">
        <f>IF(J118="Duplex",VLOOKUP(M118,'Características dos Cabos MX CH'!$C$12:$I$14,2),(IF(J118="Triplex",VLOOKUP(M118,'Características dos Cabos MX CH'!$C$15:$J$20,2),(IF(J118="Quadruplex",VLOOKUP(M118,'Características dos Cabos MX CH'!$C$21:$K$27,2),(IF(J118="13",VLOOKUP(M118,'Características dos Cabos MX CH'!$C$15:$L$20,2),"")))))))</f>
        <v/>
      </c>
      <c r="V118" s="193" t="str">
        <f>IF(J118="Duplex",VLOOKUP(M118,'Características dos Cabos MX CH'!$C$12:$I$14,3),(IF(J118="Triplex",VLOOKUP(M118,'Características dos Cabos MX CH'!$C$15:$J$20,3),(IF(J118="Quadruplex",VLOOKUP(M118,'Características dos Cabos MX CH'!$C$21:$K$27,3),(IF(J118="13",VLOOKUP(M118,'Características dos Cabos MX CH'!$C$15:$L$20,3),"")))))))</f>
        <v/>
      </c>
      <c r="W118" s="195" t="str">
        <f t="shared" si="30"/>
        <v/>
      </c>
      <c r="X118" s="195" t="str">
        <f t="shared" si="31"/>
        <v/>
      </c>
      <c r="Y118" s="196" t="str">
        <f t="shared" si="32"/>
        <v/>
      </c>
      <c r="AA118" s="488">
        <f t="shared" si="33"/>
        <v>0</v>
      </c>
      <c r="AB118" s="488">
        <f t="shared" si="26"/>
        <v>0</v>
      </c>
      <c r="AC118" s="485"/>
      <c r="AE118" s="492" t="str">
        <f t="shared" si="23"/>
        <v/>
      </c>
      <c r="AF118" s="475">
        <f t="shared" si="28"/>
        <v>0</v>
      </c>
    </row>
    <row r="119" spans="1:32" ht="15" customHeight="1">
      <c r="A119" s="696"/>
      <c r="B119" s="698"/>
      <c r="C119" s="517"/>
      <c r="D119" s="520"/>
      <c r="E119" s="522"/>
      <c r="F119" s="521" t="str">
        <f t="shared" si="34"/>
        <v/>
      </c>
      <c r="G119" s="518"/>
      <c r="H119" s="190" t="str">
        <f>IF(AND(E119="",G119=""),"",SUM(F119:G125))</f>
        <v/>
      </c>
      <c r="I119" s="191"/>
      <c r="J119" s="514"/>
      <c r="K119" s="514"/>
      <c r="L119" s="197" t="str">
        <f>IF(J119="Duplex",VLOOKUP(M119,'Características dos Cabos M EX'!$C$12:$I$14,7),(IF(J119="Triplex",VLOOKUP(M119,'Características dos Cabos M EX'!$C$15:$J$20,8),(IF(J119="Quadruplex",VLOOKUP(M119,'Características dos Cabos M EX'!$C$21:$K$27,9),(IF(J119="13",VLOOKUP(M119,'Características dos Cabos M EX'!$C$15:$L$20,10),"")))))))</f>
        <v/>
      </c>
      <c r="M119" s="350" t="str">
        <f t="shared" si="24"/>
        <v/>
      </c>
      <c r="N119" s="519"/>
      <c r="O119" s="192" t="str">
        <f t="shared" si="29"/>
        <v/>
      </c>
      <c r="P119" s="192" t="str">
        <f>IF(O119="","",SUM($O$116:O119)+$Z$116)</f>
        <v/>
      </c>
      <c r="Q119" s="192" t="str">
        <f t="shared" si="25"/>
        <v/>
      </c>
      <c r="R119" s="193" t="str">
        <f>IF(J119="Duplex",VLOOKUP(M119,'Características dos Cabos MX CH'!$C$12:$I$14,5),(IF(J119="Triplex",VLOOKUP(M119,'Características dos Cabos MX CH'!$C$15:$J$20,5),(IF(J119="Quadruplex",VLOOKUP(M119,'Características dos Cabos MX CH'!$C$21:$K$27,5),(IF(J119="13",VLOOKUP(M119,'Características dos Cabos MX CH'!$C$15:$L$20,5),"")))))))</f>
        <v/>
      </c>
      <c r="S119" s="193" t="str">
        <f>IF(J119="Duplex",VLOOKUP(M119,'Características dos Cabos MX CH'!$C$12:$I$14,6),(IF(J119="Triplex",VLOOKUP(M119,'Características dos Cabos MX CH'!$C$15:$J$20,6),(IF(J119="Quadruplex",VLOOKUP(M119,'Características dos Cabos MX CH'!$C$21:$K$27,6),(IF(J119="13",VLOOKUP(M119,'Características dos Cabos MX CH'!$C$15:$L$20,6),"")))))))</f>
        <v/>
      </c>
      <c r="T119" s="194" t="str">
        <f t="shared" si="27"/>
        <v/>
      </c>
      <c r="U119" s="447" t="str">
        <f>IF(J119="Duplex",VLOOKUP(M119,'Características dos Cabos MX CH'!$C$12:$I$14,2),(IF(J119="Triplex",VLOOKUP(M119,'Características dos Cabos MX CH'!$C$15:$J$20,2),(IF(J119="Quadruplex",VLOOKUP(M119,'Características dos Cabos MX CH'!$C$21:$K$27,2),(IF(J119="13",VLOOKUP(M119,'Características dos Cabos MX CH'!$C$15:$L$20,2),"")))))))</f>
        <v/>
      </c>
      <c r="V119" s="193" t="str">
        <f>IF(J119="Duplex",VLOOKUP(M119,'Características dos Cabos MX CH'!$C$12:$I$14,3),(IF(J119="Triplex",VLOOKUP(M119,'Características dos Cabos MX CH'!$C$15:$J$20,3),(IF(J119="Quadruplex",VLOOKUP(M119,'Características dos Cabos MX CH'!$C$21:$K$27,3),(IF(J119="13",VLOOKUP(M119,'Características dos Cabos MX CH'!$C$15:$L$20,3),"")))))))</f>
        <v/>
      </c>
      <c r="W119" s="195" t="str">
        <f t="shared" si="30"/>
        <v/>
      </c>
      <c r="X119" s="195" t="str">
        <f t="shared" si="31"/>
        <v/>
      </c>
      <c r="Y119" s="196" t="str">
        <f t="shared" si="32"/>
        <v/>
      </c>
      <c r="AA119" s="488">
        <f t="shared" si="33"/>
        <v>0</v>
      </c>
      <c r="AB119" s="488">
        <f t="shared" si="26"/>
        <v>0</v>
      </c>
      <c r="AC119" s="485"/>
      <c r="AE119" s="492" t="str">
        <f t="shared" si="23"/>
        <v/>
      </c>
      <c r="AF119" s="475">
        <f t="shared" si="28"/>
        <v>0</v>
      </c>
    </row>
    <row r="120" spans="1:32" ht="15" customHeight="1">
      <c r="A120" s="696"/>
      <c r="B120" s="698"/>
      <c r="C120" s="517"/>
      <c r="D120" s="520"/>
      <c r="E120" s="522"/>
      <c r="F120" s="521" t="str">
        <f t="shared" si="34"/>
        <v/>
      </c>
      <c r="G120" s="518"/>
      <c r="H120" s="190" t="str">
        <f>IF(AND(E120="",G120=""),"",SUM(F120:G125))</f>
        <v/>
      </c>
      <c r="I120" s="191"/>
      <c r="J120" s="514"/>
      <c r="K120" s="514"/>
      <c r="L120" s="197" t="str">
        <f>IF(J120="Duplex",VLOOKUP(M120,'Características dos Cabos M EX'!$C$12:$I$14,7),(IF(J120="Triplex",VLOOKUP(M120,'Características dos Cabos M EX'!$C$15:$J$20,8),(IF(J120="Quadruplex",VLOOKUP(M120,'Características dos Cabos M EX'!$C$21:$K$27,9),(IF(J120="13",VLOOKUP(M120,'Características dos Cabos M EX'!$C$15:$L$20,10),"")))))))</f>
        <v/>
      </c>
      <c r="M120" s="350" t="str">
        <f t="shared" si="24"/>
        <v/>
      </c>
      <c r="N120" s="519"/>
      <c r="O120" s="192" t="str">
        <f t="shared" si="29"/>
        <v/>
      </c>
      <c r="P120" s="192" t="str">
        <f>IF(O120="","",SUM($O$116:O120)+$Z$116)</f>
        <v/>
      </c>
      <c r="Q120" s="192" t="str">
        <f t="shared" si="25"/>
        <v/>
      </c>
      <c r="R120" s="193" t="str">
        <f>IF(J120="Duplex",VLOOKUP(M120,'Características dos Cabos MX CH'!$C$12:$I$14,5),(IF(J120="Triplex",VLOOKUP(M120,'Características dos Cabos MX CH'!$C$15:$J$20,5),(IF(J120="Quadruplex",VLOOKUP(M120,'Características dos Cabos MX CH'!$C$21:$K$27,5),(IF(J120="13",VLOOKUP(M120,'Características dos Cabos MX CH'!$C$15:$L$20,5),"")))))))</f>
        <v/>
      </c>
      <c r="S120" s="193" t="str">
        <f>IF(J120="Duplex",VLOOKUP(M120,'Características dos Cabos MX CH'!$C$12:$I$14,6),(IF(J120="Triplex",VLOOKUP(M120,'Características dos Cabos MX CH'!$C$15:$J$20,6),(IF(J120="Quadruplex",VLOOKUP(M120,'Características dos Cabos MX CH'!$C$21:$K$27,6),(IF(J120="13",VLOOKUP(M120,'Características dos Cabos MX CH'!$C$15:$L$20,6),"")))))))</f>
        <v/>
      </c>
      <c r="T120" s="194" t="str">
        <f t="shared" si="27"/>
        <v/>
      </c>
      <c r="U120" s="447" t="str">
        <f>IF(J120="Duplex",VLOOKUP(M120,'Características dos Cabos MX CH'!$C$12:$I$14,2),(IF(J120="Triplex",VLOOKUP(M120,'Características dos Cabos MX CH'!$C$15:$J$20,2),(IF(J120="Quadruplex",VLOOKUP(M120,'Características dos Cabos MX CH'!$C$21:$K$27,2),(IF(J120="13",VLOOKUP(M120,'Características dos Cabos MX CH'!$C$15:$L$20,2),"")))))))</f>
        <v/>
      </c>
      <c r="V120" s="193" t="str">
        <f>IF(J120="Duplex",VLOOKUP(M120,'Características dos Cabos MX CH'!$C$12:$I$14,3),(IF(J120="Triplex",VLOOKUP(M120,'Características dos Cabos MX CH'!$C$15:$J$20,3),(IF(J120="Quadruplex",VLOOKUP(M120,'Características dos Cabos MX CH'!$C$21:$K$27,3),(IF(J120="13",VLOOKUP(M120,'Características dos Cabos MX CH'!$C$15:$L$20,3),"")))))))</f>
        <v/>
      </c>
      <c r="W120" s="195" t="str">
        <f t="shared" si="30"/>
        <v/>
      </c>
      <c r="X120" s="195" t="str">
        <f t="shared" si="31"/>
        <v/>
      </c>
      <c r="Y120" s="196" t="str">
        <f t="shared" si="32"/>
        <v/>
      </c>
      <c r="AA120" s="488">
        <f t="shared" si="33"/>
        <v>0</v>
      </c>
      <c r="AB120" s="488">
        <f t="shared" si="26"/>
        <v>0</v>
      </c>
      <c r="AC120" s="485"/>
      <c r="AE120" s="492" t="str">
        <f t="shared" si="23"/>
        <v/>
      </c>
      <c r="AF120" s="475">
        <f t="shared" si="28"/>
        <v>0</v>
      </c>
    </row>
    <row r="121" spans="1:32" ht="15" customHeight="1">
      <c r="A121" s="696"/>
      <c r="B121" s="698"/>
      <c r="C121" s="517"/>
      <c r="D121" s="520"/>
      <c r="E121" s="522"/>
      <c r="F121" s="521" t="str">
        <f t="shared" si="34"/>
        <v/>
      </c>
      <c r="G121" s="518"/>
      <c r="H121" s="190" t="str">
        <f>IF(AND(E121="",G121=""),"",SUM(F121:G125))</f>
        <v/>
      </c>
      <c r="I121" s="191"/>
      <c r="J121" s="514"/>
      <c r="K121" s="514"/>
      <c r="L121" s="197" t="str">
        <f>IF(J121="Duplex",VLOOKUP(M121,'Características dos Cabos M EX'!$C$12:$I$14,7),(IF(J121="Triplex",VLOOKUP(M121,'Características dos Cabos M EX'!$C$15:$J$20,8),(IF(J121="Quadruplex",VLOOKUP(M121,'Características dos Cabos M EX'!$C$21:$K$27,9),(IF(J121="13",VLOOKUP(M121,'Características dos Cabos M EX'!$C$15:$L$20,10),"")))))))</f>
        <v/>
      </c>
      <c r="M121" s="350" t="str">
        <f t="shared" si="24"/>
        <v/>
      </c>
      <c r="N121" s="519"/>
      <c r="O121" s="192" t="str">
        <f t="shared" si="29"/>
        <v/>
      </c>
      <c r="P121" s="192" t="str">
        <f>IF(O121="","",SUM($O$116:O121)+$Z$116)</f>
        <v/>
      </c>
      <c r="Q121" s="192" t="str">
        <f t="shared" si="25"/>
        <v/>
      </c>
      <c r="R121" s="193" t="str">
        <f>IF(J121="Duplex",VLOOKUP(M121,'Características dos Cabos MX CH'!$C$12:$I$14,5),(IF(J121="Triplex",VLOOKUP(M121,'Características dos Cabos MX CH'!$C$15:$J$20,5),(IF(J121="Quadruplex",VLOOKUP(M121,'Características dos Cabos MX CH'!$C$21:$K$27,5),(IF(J121="13",VLOOKUP(M121,'Características dos Cabos MX CH'!$C$15:$L$20,5),"")))))))</f>
        <v/>
      </c>
      <c r="S121" s="193" t="str">
        <f>IF(J121="Duplex",VLOOKUP(M121,'Características dos Cabos MX CH'!$C$12:$I$14,6),(IF(J121="Triplex",VLOOKUP(M121,'Características dos Cabos MX CH'!$C$15:$J$20,6),(IF(J121="Quadruplex",VLOOKUP(M121,'Características dos Cabos MX CH'!$C$21:$K$27,6),(IF(J121="13",VLOOKUP(M121,'Características dos Cabos MX CH'!$C$15:$L$20,6),"")))))))</f>
        <v/>
      </c>
      <c r="T121" s="194" t="str">
        <f t="shared" si="27"/>
        <v/>
      </c>
      <c r="U121" s="447" t="str">
        <f>IF(J121="Duplex",VLOOKUP(M121,'Características dos Cabos MX CH'!$C$12:$I$14,2),(IF(J121="Triplex",VLOOKUP(M121,'Características dos Cabos MX CH'!$C$15:$J$20,2),(IF(J121="Quadruplex",VLOOKUP(M121,'Características dos Cabos MX CH'!$C$21:$K$27,2),(IF(J121="13",VLOOKUP(M121,'Características dos Cabos MX CH'!$C$15:$L$20,2),"")))))))</f>
        <v/>
      </c>
      <c r="V121" s="193" t="str">
        <f>IF(J121="Duplex",VLOOKUP(M121,'Características dos Cabos MX CH'!$C$12:$I$14,3),(IF(J121="Triplex",VLOOKUP(M121,'Características dos Cabos MX CH'!$C$15:$J$20,3),(IF(J121="Quadruplex",VLOOKUP(M121,'Características dos Cabos MX CH'!$C$21:$K$27,3),(IF(J121="13",VLOOKUP(M121,'Características dos Cabos MX CH'!$C$15:$L$20,3),"")))))))</f>
        <v/>
      </c>
      <c r="W121" s="195" t="str">
        <f t="shared" si="30"/>
        <v/>
      </c>
      <c r="X121" s="195" t="str">
        <f t="shared" si="31"/>
        <v/>
      </c>
      <c r="Y121" s="196" t="str">
        <f t="shared" si="32"/>
        <v/>
      </c>
      <c r="AA121" s="488">
        <f t="shared" si="33"/>
        <v>0</v>
      </c>
      <c r="AB121" s="488">
        <f t="shared" si="26"/>
        <v>0</v>
      </c>
      <c r="AC121" s="485"/>
      <c r="AE121" s="492" t="str">
        <f t="shared" si="23"/>
        <v/>
      </c>
      <c r="AF121" s="475">
        <f t="shared" si="28"/>
        <v>0</v>
      </c>
    </row>
    <row r="122" spans="1:32" ht="15" customHeight="1">
      <c r="A122" s="696"/>
      <c r="B122" s="698"/>
      <c r="C122" s="517"/>
      <c r="D122" s="520"/>
      <c r="E122" s="522"/>
      <c r="F122" s="521" t="str">
        <f t="shared" si="34"/>
        <v/>
      </c>
      <c r="G122" s="518"/>
      <c r="H122" s="190" t="str">
        <f>IF(AND(E122="",G122=""),"",SUM(F122:G125))</f>
        <v/>
      </c>
      <c r="I122" s="191"/>
      <c r="J122" s="514"/>
      <c r="K122" s="514"/>
      <c r="L122" s="197" t="str">
        <f>IF(J122="Duplex",VLOOKUP(M122,'Características dos Cabos M EX'!$C$12:$I$14,7),(IF(J122="Triplex",VLOOKUP(M122,'Características dos Cabos M EX'!$C$15:$J$20,8),(IF(J122="Quadruplex",VLOOKUP(M122,'Características dos Cabos M EX'!$C$21:$K$27,9),(IF(J122="13",VLOOKUP(M122,'Características dos Cabos M EX'!$C$15:$L$20,10),"")))))))</f>
        <v/>
      </c>
      <c r="M122" s="350" t="str">
        <f t="shared" si="24"/>
        <v/>
      </c>
      <c r="N122" s="519"/>
      <c r="O122" s="192" t="str">
        <f t="shared" si="29"/>
        <v/>
      </c>
      <c r="P122" s="192" t="str">
        <f>IF(O122="","",SUM($O$116:O122)+$Z$116)</f>
        <v/>
      </c>
      <c r="Q122" s="192" t="str">
        <f t="shared" si="25"/>
        <v/>
      </c>
      <c r="R122" s="193" t="str">
        <f>IF(J122="Duplex",VLOOKUP(M122,'Características dos Cabos MX CH'!$C$12:$I$14,5),(IF(J122="Triplex",VLOOKUP(M122,'Características dos Cabos MX CH'!$C$15:$J$20,5),(IF(J122="Quadruplex",VLOOKUP(M122,'Características dos Cabos MX CH'!$C$21:$K$27,5),(IF(J122="13",VLOOKUP(M122,'Características dos Cabos MX CH'!$C$15:$L$20,5),"")))))))</f>
        <v/>
      </c>
      <c r="S122" s="193" t="str">
        <f>IF(J122="Duplex",VLOOKUP(M122,'Características dos Cabos MX CH'!$C$12:$I$14,6),(IF(J122="Triplex",VLOOKUP(M122,'Características dos Cabos MX CH'!$C$15:$J$20,6),(IF(J122="Quadruplex",VLOOKUP(M122,'Características dos Cabos MX CH'!$C$21:$K$27,6),(IF(J122="13",VLOOKUP(M122,'Características dos Cabos MX CH'!$C$15:$L$20,6),"")))))))</f>
        <v/>
      </c>
      <c r="T122" s="194" t="str">
        <f t="shared" si="27"/>
        <v/>
      </c>
      <c r="U122" s="447" t="str">
        <f>IF(J122="Duplex",VLOOKUP(M122,'Características dos Cabos MX CH'!$C$12:$I$14,2),(IF(J122="Triplex",VLOOKUP(M122,'Características dos Cabos MX CH'!$C$15:$J$20,2),(IF(J122="Quadruplex",VLOOKUP(M122,'Características dos Cabos MX CH'!$C$21:$K$27,2),(IF(J122="13",VLOOKUP(M122,'Características dos Cabos MX CH'!$C$15:$L$20,2),"")))))))</f>
        <v/>
      </c>
      <c r="V122" s="193" t="str">
        <f>IF(J122="Duplex",VLOOKUP(M122,'Características dos Cabos MX CH'!$C$12:$I$14,3),(IF(J122="Triplex",VLOOKUP(M122,'Características dos Cabos MX CH'!$C$15:$J$20,3),(IF(J122="Quadruplex",VLOOKUP(M122,'Características dos Cabos MX CH'!$C$21:$K$27,3),(IF(J122="13",VLOOKUP(M122,'Características dos Cabos MX CH'!$C$15:$L$20,3),"")))))))</f>
        <v/>
      </c>
      <c r="W122" s="195" t="str">
        <f t="shared" si="30"/>
        <v/>
      </c>
      <c r="X122" s="195" t="str">
        <f t="shared" si="31"/>
        <v/>
      </c>
      <c r="Y122" s="196" t="str">
        <f t="shared" si="32"/>
        <v/>
      </c>
      <c r="AA122" s="488">
        <f t="shared" si="33"/>
        <v>0</v>
      </c>
      <c r="AB122" s="488">
        <f t="shared" si="26"/>
        <v>0</v>
      </c>
      <c r="AC122" s="485"/>
      <c r="AE122" s="492" t="str">
        <f t="shared" si="23"/>
        <v/>
      </c>
      <c r="AF122" s="475">
        <f t="shared" si="28"/>
        <v>0</v>
      </c>
    </row>
    <row r="123" spans="1:32" ht="15" customHeight="1">
      <c r="A123" s="696"/>
      <c r="B123" s="698"/>
      <c r="C123" s="517"/>
      <c r="D123" s="520"/>
      <c r="E123" s="522"/>
      <c r="F123" s="521" t="str">
        <f t="shared" si="34"/>
        <v/>
      </c>
      <c r="G123" s="518"/>
      <c r="H123" s="190" t="str">
        <f>IF(AND(E123="",G123=""),"",SUM(F123:G125))</f>
        <v/>
      </c>
      <c r="I123" s="191"/>
      <c r="J123" s="514"/>
      <c r="K123" s="514"/>
      <c r="L123" s="197" t="str">
        <f>IF(J123="Duplex",VLOOKUP(M123,'Características dos Cabos M EX'!$C$12:$I$14,7),(IF(J123="Triplex",VLOOKUP(M123,'Características dos Cabos M EX'!$C$15:$J$20,8),(IF(J123="Quadruplex",VLOOKUP(M123,'Características dos Cabos M EX'!$C$21:$K$27,9),(IF(J123="13",VLOOKUP(M123,'Características dos Cabos M EX'!$C$15:$L$20,10),"")))))))</f>
        <v/>
      </c>
      <c r="M123" s="350" t="str">
        <f t="shared" si="24"/>
        <v/>
      </c>
      <c r="N123" s="519"/>
      <c r="O123" s="192" t="str">
        <f t="shared" si="29"/>
        <v/>
      </c>
      <c r="P123" s="192" t="str">
        <f>IF(O123="","",SUM($O$116:O123)+$Z$116)</f>
        <v/>
      </c>
      <c r="Q123" s="192" t="str">
        <f t="shared" si="25"/>
        <v/>
      </c>
      <c r="R123" s="193" t="str">
        <f>IF(J123="Duplex",VLOOKUP(M123,'Características dos Cabos MX CH'!$C$12:$I$14,5),(IF(J123="Triplex",VLOOKUP(M123,'Características dos Cabos MX CH'!$C$15:$J$20,5),(IF(J123="Quadruplex",VLOOKUP(M123,'Características dos Cabos MX CH'!$C$21:$K$27,5),(IF(J123="13",VLOOKUP(M123,'Características dos Cabos MX CH'!$C$15:$L$20,5),"")))))))</f>
        <v/>
      </c>
      <c r="S123" s="193" t="str">
        <f>IF(J123="Duplex",VLOOKUP(M123,'Características dos Cabos MX CH'!$C$12:$I$14,6),(IF(J123="Triplex",VLOOKUP(M123,'Características dos Cabos MX CH'!$C$15:$J$20,6),(IF(J123="Quadruplex",VLOOKUP(M123,'Características dos Cabos MX CH'!$C$21:$K$27,6),(IF(J123="13",VLOOKUP(M123,'Características dos Cabos MX CH'!$C$15:$L$20,6),"")))))))</f>
        <v/>
      </c>
      <c r="T123" s="194" t="str">
        <f t="shared" si="27"/>
        <v/>
      </c>
      <c r="U123" s="447" t="str">
        <f>IF(J123="Duplex",VLOOKUP(M123,'Características dos Cabos MX CH'!$C$12:$I$14,2),(IF(J123="Triplex",VLOOKUP(M123,'Características dos Cabos MX CH'!$C$15:$J$20,2),(IF(J123="Quadruplex",VLOOKUP(M123,'Características dos Cabos MX CH'!$C$21:$K$27,2),(IF(J123="13",VLOOKUP(M123,'Características dos Cabos MX CH'!$C$15:$L$20,2),"")))))))</f>
        <v/>
      </c>
      <c r="V123" s="193" t="str">
        <f>IF(J123="Duplex",VLOOKUP(M123,'Características dos Cabos MX CH'!$C$12:$I$14,3),(IF(J123="Triplex",VLOOKUP(M123,'Características dos Cabos MX CH'!$C$15:$J$20,3),(IF(J123="Quadruplex",VLOOKUP(M123,'Características dos Cabos MX CH'!$C$21:$K$27,3),(IF(J123="13",VLOOKUP(M123,'Características dos Cabos MX CH'!$C$15:$L$20,3),"")))))))</f>
        <v/>
      </c>
      <c r="W123" s="195" t="str">
        <f t="shared" si="30"/>
        <v/>
      </c>
      <c r="X123" s="195" t="str">
        <f t="shared" si="31"/>
        <v/>
      </c>
      <c r="Y123" s="196" t="str">
        <f t="shared" si="32"/>
        <v/>
      </c>
      <c r="AA123" s="488">
        <f t="shared" si="33"/>
        <v>0</v>
      </c>
      <c r="AB123" s="488">
        <f t="shared" si="26"/>
        <v>0</v>
      </c>
      <c r="AC123" s="485"/>
      <c r="AE123" s="492" t="str">
        <f t="shared" si="23"/>
        <v/>
      </c>
      <c r="AF123" s="475">
        <f t="shared" si="28"/>
        <v>0</v>
      </c>
    </row>
    <row r="124" spans="1:32" ht="15" customHeight="1">
      <c r="A124" s="696"/>
      <c r="B124" s="698"/>
      <c r="C124" s="517"/>
      <c r="D124" s="520"/>
      <c r="E124" s="522"/>
      <c r="F124" s="521" t="str">
        <f t="shared" si="34"/>
        <v/>
      </c>
      <c r="G124" s="518"/>
      <c r="H124" s="190" t="str">
        <f>IF(AND(E124="",G124=""),"",SUM(F124:G125))</f>
        <v/>
      </c>
      <c r="I124" s="191"/>
      <c r="J124" s="514"/>
      <c r="K124" s="514"/>
      <c r="L124" s="197" t="str">
        <f>IF(J124="Duplex",VLOOKUP(M124,'Características dos Cabos M EX'!$C$12:$I$14,7),(IF(J124="Triplex",VLOOKUP(M124,'Características dos Cabos M EX'!$C$15:$J$20,8),(IF(J124="Quadruplex",VLOOKUP(M124,'Características dos Cabos M EX'!$C$21:$K$27,9),(IF(J124="13",VLOOKUP(M124,'Características dos Cabos M EX'!$C$15:$L$20,10),"")))))))</f>
        <v/>
      </c>
      <c r="M124" s="350" t="str">
        <f t="shared" si="24"/>
        <v/>
      </c>
      <c r="N124" s="519"/>
      <c r="O124" s="192" t="str">
        <f t="shared" si="29"/>
        <v/>
      </c>
      <c r="P124" s="192" t="str">
        <f>IF(O124="","",SUM($O$116:O124)+$Z$116)</f>
        <v/>
      </c>
      <c r="Q124" s="192" t="str">
        <f t="shared" si="25"/>
        <v/>
      </c>
      <c r="R124" s="193" t="str">
        <f>IF(J124="Duplex",VLOOKUP(M124,'Características dos Cabos MX CH'!$C$12:$I$14,5),(IF(J124="Triplex",VLOOKUP(M124,'Características dos Cabos MX CH'!$C$15:$J$20,5),(IF(J124="Quadruplex",VLOOKUP(M124,'Características dos Cabos MX CH'!$C$21:$K$27,5),(IF(J124="13",VLOOKUP(M124,'Características dos Cabos MX CH'!$C$15:$L$20,5),"")))))))</f>
        <v/>
      </c>
      <c r="S124" s="193" t="str">
        <f>IF(J124="Duplex",VLOOKUP(M124,'Características dos Cabos MX CH'!$C$12:$I$14,6),(IF(J124="Triplex",VLOOKUP(M124,'Características dos Cabos MX CH'!$C$15:$J$20,6),(IF(J124="Quadruplex",VLOOKUP(M124,'Características dos Cabos MX CH'!$C$21:$K$27,6),(IF(J124="13",VLOOKUP(M124,'Características dos Cabos MX CH'!$C$15:$L$20,6),"")))))))</f>
        <v/>
      </c>
      <c r="T124" s="194" t="str">
        <f t="shared" si="27"/>
        <v/>
      </c>
      <c r="U124" s="447" t="str">
        <f>IF(J124="Duplex",VLOOKUP(M124,'Características dos Cabos MX CH'!$C$12:$I$14,2),(IF(J124="Triplex",VLOOKUP(M124,'Características dos Cabos MX CH'!$C$15:$J$20,2),(IF(J124="Quadruplex",VLOOKUP(M124,'Características dos Cabos MX CH'!$C$21:$K$27,2),(IF(J124="13",VLOOKUP(M124,'Características dos Cabos MX CH'!$C$15:$L$20,2),"")))))))</f>
        <v/>
      </c>
      <c r="V124" s="193" t="str">
        <f>IF(J124="Duplex",VLOOKUP(M124,'Características dos Cabos MX CH'!$C$12:$I$14,3),(IF(J124="Triplex",VLOOKUP(M124,'Características dos Cabos MX CH'!$C$15:$J$20,3),(IF(J124="Quadruplex",VLOOKUP(M124,'Características dos Cabos MX CH'!$C$21:$K$27,3),(IF(J124="13",VLOOKUP(M124,'Características dos Cabos MX CH'!$C$15:$L$20,3),"")))))))</f>
        <v/>
      </c>
      <c r="W124" s="195" t="str">
        <f t="shared" si="30"/>
        <v/>
      </c>
      <c r="X124" s="195" t="str">
        <f t="shared" si="31"/>
        <v/>
      </c>
      <c r="Y124" s="196" t="str">
        <f t="shared" si="32"/>
        <v/>
      </c>
      <c r="AA124" s="488">
        <f t="shared" si="33"/>
        <v>0</v>
      </c>
      <c r="AB124" s="488">
        <f t="shared" si="26"/>
        <v>0</v>
      </c>
      <c r="AC124" s="485"/>
      <c r="AE124" s="492" t="str">
        <f t="shared" si="23"/>
        <v/>
      </c>
      <c r="AF124" s="475">
        <f t="shared" si="28"/>
        <v>0</v>
      </c>
    </row>
    <row r="125" spans="1:32" ht="15" customHeight="1" thickBot="1">
      <c r="A125" s="696"/>
      <c r="B125" s="699"/>
      <c r="C125" s="523"/>
      <c r="D125" s="524"/>
      <c r="E125" s="523"/>
      <c r="F125" s="526" t="str">
        <f t="shared" si="34"/>
        <v/>
      </c>
      <c r="G125" s="527"/>
      <c r="H125" s="200" t="str">
        <f>IF(AND(E125="",G125=""),"",SUM(F125:G125))</f>
        <v/>
      </c>
      <c r="I125" s="201"/>
      <c r="J125" s="528"/>
      <c r="K125" s="528"/>
      <c r="L125" s="202" t="str">
        <f>IF(J125="Duplex",VLOOKUP(M125,'Características dos Cabos M EX'!$C$12:$I$14,7),(IF(J125="Triplex",VLOOKUP(M125,'Características dos Cabos M EX'!$C$15:$J$20,8),(IF(J125="Quadruplex",VLOOKUP(M125,'Características dos Cabos M EX'!$C$21:$K$27,9),(IF(J125="13",VLOOKUP(M125,'Características dos Cabos M EX'!$C$15:$L$20,10),"")))))))</f>
        <v/>
      </c>
      <c r="M125" s="353" t="str">
        <f t="shared" si="24"/>
        <v/>
      </c>
      <c r="N125" s="529"/>
      <c r="O125" s="203" t="str">
        <f t="shared" si="29"/>
        <v/>
      </c>
      <c r="P125" s="203" t="str">
        <f>IF(O125="","",SUM($O$116:O125)+$Z$116)</f>
        <v/>
      </c>
      <c r="Q125" s="203" t="str">
        <f t="shared" si="25"/>
        <v/>
      </c>
      <c r="R125" s="204" t="str">
        <f>IF(J125="Duplex",VLOOKUP(M125,'Características dos Cabos MX CH'!$C$12:$I$14,5),(IF(J125="Triplex",VLOOKUP(M125,'Características dos Cabos MX CH'!$C$15:$J$20,5),(IF(J125="Quadruplex",VLOOKUP(M125,'Características dos Cabos MX CH'!$C$21:$K$27,5),(IF(J125="13",VLOOKUP(M125,'Características dos Cabos MX CH'!$C$15:$L$20,5),"")))))))</f>
        <v/>
      </c>
      <c r="S125" s="204" t="str">
        <f>IF(J125="Duplex",VLOOKUP(M125,'Características dos Cabos MX CH'!$C$12:$I$14,6),(IF(J125="Triplex",VLOOKUP(M125,'Características dos Cabos MX CH'!$C$15:$J$20,6),(IF(J125="Quadruplex",VLOOKUP(M125,'Características dos Cabos MX CH'!$C$21:$K$27,6),(IF(J125="13",VLOOKUP(M125,'Características dos Cabos MX CH'!$C$15:$L$20,6),"")))))))</f>
        <v/>
      </c>
      <c r="T125" s="205" t="str">
        <f t="shared" si="27"/>
        <v/>
      </c>
      <c r="U125" s="448" t="str">
        <f>IF(J125="Duplex",VLOOKUP(M125,'Características dos Cabos MX CH'!$C$12:$I$14,2),(IF(J125="Triplex",VLOOKUP(M125,'Características dos Cabos MX CH'!$C$15:$J$20,2),(IF(J125="Quadruplex",VLOOKUP(M125,'Características dos Cabos MX CH'!$C$21:$K$27,2),(IF(J125="13",VLOOKUP(M125,'Características dos Cabos MX CH'!$C$15:$L$20,2),"")))))))</f>
        <v/>
      </c>
      <c r="V125" s="204" t="str">
        <f>IF(J125="Duplex",VLOOKUP(M125,'Características dos Cabos MX CH'!$C$12:$I$14,3),(IF(J125="Triplex",VLOOKUP(M125,'Características dos Cabos MX CH'!$C$15:$J$20,3),(IF(J125="Quadruplex",VLOOKUP(M125,'Características dos Cabos MX CH'!$C$21:$K$27,3),(IF(J125="13",VLOOKUP(M125,'Características dos Cabos MX CH'!$C$15:$L$20,3),"")))))))</f>
        <v/>
      </c>
      <c r="W125" s="206" t="str">
        <f t="shared" si="30"/>
        <v/>
      </c>
      <c r="X125" s="206" t="str">
        <f t="shared" si="31"/>
        <v/>
      </c>
      <c r="Y125" s="207" t="str">
        <f t="shared" si="32"/>
        <v/>
      </c>
      <c r="AA125" s="488">
        <f t="shared" si="33"/>
        <v>0</v>
      </c>
      <c r="AB125" s="488">
        <f t="shared" si="26"/>
        <v>0</v>
      </c>
      <c r="AC125" s="485"/>
      <c r="AE125" s="492" t="str">
        <f t="shared" si="23"/>
        <v/>
      </c>
      <c r="AF125" s="475">
        <f t="shared" si="28"/>
        <v>0</v>
      </c>
    </row>
    <row r="126" spans="1:32" ht="15" customHeight="1" thickTop="1">
      <c r="A126" s="696"/>
      <c r="B126" s="700" t="str">
        <f>CONCATENATE("Ramal 9 - Derivando no ponto ",C126)</f>
        <v xml:space="preserve">Ramal 9 - Derivando no ponto </v>
      </c>
      <c r="C126" s="532"/>
      <c r="D126" s="536"/>
      <c r="E126" s="537"/>
      <c r="F126" s="538" t="str">
        <f t="shared" si="34"/>
        <v/>
      </c>
      <c r="G126" s="539"/>
      <c r="H126" s="209" t="str">
        <f>IF(AND(E126="",G126=""),"",SUM(F126:G135))</f>
        <v/>
      </c>
      <c r="I126" s="210"/>
      <c r="J126" s="535"/>
      <c r="K126" s="535"/>
      <c r="L126" s="211" t="str">
        <f>IF(J126="Duplex",VLOOKUP(M126,'Características dos Cabos M EX'!$C$12:$I$14,7),(IF(J126="Triplex",VLOOKUP(M126,'Características dos Cabos M EX'!$C$15:$J$20,8),(IF(J126="Quadruplex",VLOOKUP(M126,'Características dos Cabos M EX'!$C$21:$K$27,9),(IF(J126="13",VLOOKUP(M126,'Características dos Cabos M EX'!$C$15:$L$20,10),"")))))))</f>
        <v/>
      </c>
      <c r="M126" s="354" t="str">
        <f t="shared" si="24"/>
        <v/>
      </c>
      <c r="N126" s="540"/>
      <c r="O126" s="212" t="str">
        <f t="shared" si="29"/>
        <v/>
      </c>
      <c r="P126" s="212" t="str">
        <f>IF(O126="","",O126+VLOOKUP(C126,$D$21:$Q$125,13,FALSE))</f>
        <v/>
      </c>
      <c r="Q126" s="212" t="str">
        <f t="shared" si="25"/>
        <v/>
      </c>
      <c r="R126" s="213" t="str">
        <f>IF(J126="Duplex",VLOOKUP(M126,'Características dos Cabos MX CH'!$C$12:$I$14,5),(IF(J126="Triplex",VLOOKUP(M126,'Características dos Cabos MX CH'!$C$15:$J$20,5),(IF(J126="Quadruplex",VLOOKUP(M126,'Características dos Cabos MX CH'!$C$21:$K$27,5),(IF(J126="13",VLOOKUP(M126,'Características dos Cabos MX CH'!$C$15:$L$20,5),"")))))))</f>
        <v/>
      </c>
      <c r="S126" s="213" t="str">
        <f>IF(J126="Duplex",VLOOKUP(M126,'Características dos Cabos MX CH'!$C$12:$I$14,6),(IF(J126="Triplex",VLOOKUP(M126,'Características dos Cabos MX CH'!$C$15:$J$20,6),(IF(J126="Quadruplex",VLOOKUP(M126,'Características dos Cabos MX CH'!$C$21:$K$27,6),(IF(J126="13",VLOOKUP(M126,'Características dos Cabos MX CH'!$C$15:$L$20,6),"")))))))</f>
        <v/>
      </c>
      <c r="T126" s="214" t="str">
        <f t="shared" si="27"/>
        <v/>
      </c>
      <c r="U126" s="450" t="str">
        <f>IF(J126="Duplex",VLOOKUP(M126,'Características dos Cabos MX CH'!$C$12:$I$14,2),(IF(J126="Triplex",VLOOKUP(M126,'Características dos Cabos MX CH'!$C$15:$J$20,2),(IF(J126="Quadruplex",VLOOKUP(M126,'Características dos Cabos MX CH'!$C$21:$K$27,2),(IF(J126="13",VLOOKUP(M126,'Características dos Cabos MX CH'!$C$15:$L$20,2),"")))))))</f>
        <v/>
      </c>
      <c r="V126" s="213" t="str">
        <f>IF(J126="Duplex",VLOOKUP(M126,'Características dos Cabos MX CH'!$C$12:$I$14,3),(IF(J126="Triplex",VLOOKUP(M126,'Características dos Cabos MX CH'!$C$15:$J$20,3),(IF(J126="Quadruplex",VLOOKUP(M126,'Características dos Cabos MX CH'!$C$21:$K$27,3),(IF(J126="13",VLOOKUP(M126,'Características dos Cabos MX CH'!$C$15:$L$20,3),"")))))))</f>
        <v/>
      </c>
      <c r="W126" s="215" t="str">
        <f t="shared" si="30"/>
        <v/>
      </c>
      <c r="X126" s="215" t="str">
        <f t="shared" si="31"/>
        <v/>
      </c>
      <c r="Y126" s="216" t="str">
        <f t="shared" si="32"/>
        <v/>
      </c>
      <c r="Z126" s="463" t="str">
        <f>IF(O126="","",VLOOKUP(C126,$D$21:$P$125,13,FALSE))</f>
        <v/>
      </c>
      <c r="AA126" s="488">
        <f t="shared" si="33"/>
        <v>0</v>
      </c>
      <c r="AB126" s="488">
        <f t="shared" si="26"/>
        <v>0</v>
      </c>
      <c r="AC126" s="485"/>
      <c r="AE126" s="492" t="str">
        <f t="shared" si="23"/>
        <v/>
      </c>
      <c r="AF126" s="475">
        <f t="shared" si="28"/>
        <v>0</v>
      </c>
    </row>
    <row r="127" spans="1:32" ht="15" customHeight="1">
      <c r="A127" s="696"/>
      <c r="B127" s="698"/>
      <c r="C127" s="517"/>
      <c r="D127" s="520"/>
      <c r="E127" s="522"/>
      <c r="F127" s="521" t="str">
        <f t="shared" si="34"/>
        <v/>
      </c>
      <c r="G127" s="518"/>
      <c r="H127" s="190" t="str">
        <f>IF(AND(E127="",G127=""),"",SUM(F127:G135))</f>
        <v/>
      </c>
      <c r="I127" s="191"/>
      <c r="J127" s="514"/>
      <c r="K127" s="514"/>
      <c r="L127" s="197" t="str">
        <f>IF(J127="Duplex",VLOOKUP(M127,'Características dos Cabos M EX'!$C$12:$I$14,7),(IF(J127="Triplex",VLOOKUP(M127,'Características dos Cabos M EX'!$C$15:$J$20,8),(IF(J127="Quadruplex",VLOOKUP(M127,'Características dos Cabos M EX'!$C$21:$K$27,9),(IF(J127="13",VLOOKUP(M127,'Características dos Cabos M EX'!$C$15:$L$20,10),"")))))))</f>
        <v/>
      </c>
      <c r="M127" s="350" t="str">
        <f t="shared" si="24"/>
        <v/>
      </c>
      <c r="N127" s="519"/>
      <c r="O127" s="192" t="str">
        <f t="shared" si="29"/>
        <v/>
      </c>
      <c r="P127" s="192" t="str">
        <f>IF(O127="","",SUM($O$126:O127)+$Z$126)</f>
        <v/>
      </c>
      <c r="Q127" s="192" t="str">
        <f t="shared" si="25"/>
        <v/>
      </c>
      <c r="R127" s="193" t="str">
        <f>IF(J127="Duplex",VLOOKUP(M127,'Características dos Cabos MX CH'!$C$12:$I$14,5),(IF(J127="Triplex",VLOOKUP(M127,'Características dos Cabos MX CH'!$C$15:$J$20,5),(IF(J127="Quadruplex",VLOOKUP(M127,'Características dos Cabos MX CH'!$C$21:$K$27,5),(IF(J127="13",VLOOKUP(M127,'Características dos Cabos MX CH'!$C$15:$L$20,5),"")))))))</f>
        <v/>
      </c>
      <c r="S127" s="193" t="str">
        <f>IF(J127="Duplex",VLOOKUP(M127,'Características dos Cabos MX CH'!$C$12:$I$14,6),(IF(J127="Triplex",VLOOKUP(M127,'Características dos Cabos MX CH'!$C$15:$J$20,6),(IF(J127="Quadruplex",VLOOKUP(M127,'Características dos Cabos MX CH'!$C$21:$K$27,6),(IF(J127="13",VLOOKUP(M127,'Características dos Cabos MX CH'!$C$15:$L$20,6),"")))))))</f>
        <v/>
      </c>
      <c r="T127" s="194" t="str">
        <f t="shared" si="27"/>
        <v/>
      </c>
      <c r="U127" s="447" t="str">
        <f>IF(J127="Duplex",VLOOKUP(M127,'Características dos Cabos MX CH'!$C$12:$I$14,2),(IF(J127="Triplex",VLOOKUP(M127,'Características dos Cabos MX CH'!$C$15:$J$20,2),(IF(J127="Quadruplex",VLOOKUP(M127,'Características dos Cabos MX CH'!$C$21:$K$27,2),(IF(J127="13",VLOOKUP(M127,'Características dos Cabos MX CH'!$C$15:$L$20,2),"")))))))</f>
        <v/>
      </c>
      <c r="V127" s="193" t="str">
        <f>IF(J127="Duplex",VLOOKUP(M127,'Características dos Cabos MX CH'!$C$12:$I$14,3),(IF(J127="Triplex",VLOOKUP(M127,'Características dos Cabos MX CH'!$C$15:$J$20,3),(IF(J127="Quadruplex",VLOOKUP(M127,'Características dos Cabos MX CH'!$C$21:$K$27,3),(IF(J127="13",VLOOKUP(M127,'Características dos Cabos MX CH'!$C$15:$L$20,3),"")))))))</f>
        <v/>
      </c>
      <c r="W127" s="195" t="str">
        <f t="shared" si="30"/>
        <v/>
      </c>
      <c r="X127" s="195" t="str">
        <f t="shared" si="31"/>
        <v/>
      </c>
      <c r="Y127" s="196" t="str">
        <f t="shared" si="32"/>
        <v/>
      </c>
      <c r="AA127" s="488">
        <f t="shared" si="33"/>
        <v>0</v>
      </c>
      <c r="AB127" s="488">
        <f t="shared" si="26"/>
        <v>0</v>
      </c>
      <c r="AC127" s="485"/>
      <c r="AE127" s="492" t="str">
        <f t="shared" si="23"/>
        <v/>
      </c>
      <c r="AF127" s="475">
        <f t="shared" si="28"/>
        <v>0</v>
      </c>
    </row>
    <row r="128" spans="1:32" ht="15" customHeight="1">
      <c r="A128" s="696"/>
      <c r="B128" s="698"/>
      <c r="C128" s="517"/>
      <c r="D128" s="520"/>
      <c r="E128" s="522"/>
      <c r="F128" s="521" t="str">
        <f t="shared" si="34"/>
        <v/>
      </c>
      <c r="G128" s="518"/>
      <c r="H128" s="190" t="str">
        <f>IF(AND(E128="",G128=""),"",SUM(F128:G135))</f>
        <v/>
      </c>
      <c r="I128" s="191"/>
      <c r="J128" s="514"/>
      <c r="K128" s="514"/>
      <c r="L128" s="197" t="str">
        <f>IF(J128="Duplex",VLOOKUP(M128,'Características dos Cabos M EX'!$C$12:$I$14,7),(IF(J128="Triplex",VLOOKUP(M128,'Características dos Cabos M EX'!$C$15:$J$20,8),(IF(J128="Quadruplex",VLOOKUP(M128,'Características dos Cabos M EX'!$C$21:$K$27,9),(IF(J128="13",VLOOKUP(M128,'Características dos Cabos M EX'!$C$15:$L$20,10),"")))))))</f>
        <v/>
      </c>
      <c r="M128" s="350" t="str">
        <f t="shared" si="24"/>
        <v/>
      </c>
      <c r="N128" s="519"/>
      <c r="O128" s="192" t="str">
        <f t="shared" si="29"/>
        <v/>
      </c>
      <c r="P128" s="192" t="str">
        <f>IF(O128="","",SUM($O$126:O128)+$Z$126)</f>
        <v/>
      </c>
      <c r="Q128" s="192" t="str">
        <f t="shared" si="25"/>
        <v/>
      </c>
      <c r="R128" s="193" t="str">
        <f>IF(J128="Duplex",VLOOKUP(M128,'Características dos Cabos MX CH'!$C$12:$I$14,5),(IF(J128="Triplex",VLOOKUP(M128,'Características dos Cabos MX CH'!$C$15:$J$20,5),(IF(J128="Quadruplex",VLOOKUP(M128,'Características dos Cabos MX CH'!$C$21:$K$27,5),(IF(J128="13",VLOOKUP(M128,'Características dos Cabos MX CH'!$C$15:$L$20,5),"")))))))</f>
        <v/>
      </c>
      <c r="S128" s="193" t="str">
        <f>IF(J128="Duplex",VLOOKUP(M128,'Características dos Cabos MX CH'!$C$12:$I$14,6),(IF(J128="Triplex",VLOOKUP(M128,'Características dos Cabos MX CH'!$C$15:$J$20,6),(IF(J128="Quadruplex",VLOOKUP(M128,'Características dos Cabos MX CH'!$C$21:$K$27,6),(IF(J128="13",VLOOKUP(M128,'Características dos Cabos MX CH'!$C$15:$L$20,6),"")))))))</f>
        <v/>
      </c>
      <c r="T128" s="194" t="str">
        <f t="shared" si="27"/>
        <v/>
      </c>
      <c r="U128" s="447" t="str">
        <f>IF(J128="Duplex",VLOOKUP(M128,'Características dos Cabos MX CH'!$C$12:$I$14,2),(IF(J128="Triplex",VLOOKUP(M128,'Características dos Cabos MX CH'!$C$15:$J$20,2),(IF(J128="Quadruplex",VLOOKUP(M128,'Características dos Cabos MX CH'!$C$21:$K$27,2),(IF(J128="13",VLOOKUP(M128,'Características dos Cabos MX CH'!$C$15:$L$20,2),"")))))))</f>
        <v/>
      </c>
      <c r="V128" s="193" t="str">
        <f>IF(J128="Duplex",VLOOKUP(M128,'Características dos Cabos MX CH'!$C$12:$I$14,3),(IF(J128="Triplex",VLOOKUP(M128,'Características dos Cabos MX CH'!$C$15:$J$20,3),(IF(J128="Quadruplex",VLOOKUP(M128,'Características dos Cabos MX CH'!$C$21:$K$27,3),(IF(J128="13",VLOOKUP(M128,'Características dos Cabos MX CH'!$C$15:$L$20,3),"")))))))</f>
        <v/>
      </c>
      <c r="W128" s="195" t="str">
        <f t="shared" si="30"/>
        <v/>
      </c>
      <c r="X128" s="195" t="str">
        <f t="shared" si="31"/>
        <v/>
      </c>
      <c r="Y128" s="196" t="str">
        <f t="shared" si="32"/>
        <v/>
      </c>
      <c r="AA128" s="488">
        <f t="shared" si="33"/>
        <v>0</v>
      </c>
      <c r="AB128" s="488">
        <f t="shared" si="26"/>
        <v>0</v>
      </c>
      <c r="AC128" s="485"/>
      <c r="AE128" s="492" t="str">
        <f t="shared" si="23"/>
        <v/>
      </c>
      <c r="AF128" s="475">
        <f t="shared" si="28"/>
        <v>0</v>
      </c>
    </row>
    <row r="129" spans="1:32" ht="15" customHeight="1">
      <c r="A129" s="696"/>
      <c r="B129" s="698"/>
      <c r="C129" s="517"/>
      <c r="D129" s="520"/>
      <c r="E129" s="522"/>
      <c r="F129" s="521" t="str">
        <f t="shared" si="34"/>
        <v/>
      </c>
      <c r="G129" s="518"/>
      <c r="H129" s="190" t="str">
        <f>IF(AND(E129="",G129=""),"",SUM(F129:G135))</f>
        <v/>
      </c>
      <c r="I129" s="191"/>
      <c r="J129" s="514"/>
      <c r="K129" s="514"/>
      <c r="L129" s="197" t="str">
        <f>IF(J129="Duplex",VLOOKUP(M129,'Características dos Cabos M EX'!$C$12:$I$14,7),(IF(J129="Triplex",VLOOKUP(M129,'Características dos Cabos M EX'!$C$15:$J$20,8),(IF(J129="Quadruplex",VLOOKUP(M129,'Características dos Cabos M EX'!$C$21:$K$27,9),(IF(J129="13",VLOOKUP(M129,'Características dos Cabos M EX'!$C$15:$L$20,10),"")))))))</f>
        <v/>
      </c>
      <c r="M129" s="350" t="str">
        <f t="shared" si="24"/>
        <v/>
      </c>
      <c r="N129" s="519"/>
      <c r="O129" s="192" t="str">
        <f t="shared" si="29"/>
        <v/>
      </c>
      <c r="P129" s="192" t="str">
        <f>IF(O129="","",SUM($O$126:O129)+$Z$126)</f>
        <v/>
      </c>
      <c r="Q129" s="192" t="str">
        <f t="shared" si="25"/>
        <v/>
      </c>
      <c r="R129" s="193" t="str">
        <f>IF(J129="Duplex",VLOOKUP(M129,'Características dos Cabos MX CH'!$C$12:$I$14,5),(IF(J129="Triplex",VLOOKUP(M129,'Características dos Cabos MX CH'!$C$15:$J$20,5),(IF(J129="Quadruplex",VLOOKUP(M129,'Características dos Cabos MX CH'!$C$21:$K$27,5),(IF(J129="13",VLOOKUP(M129,'Características dos Cabos MX CH'!$C$15:$L$20,5),"")))))))</f>
        <v/>
      </c>
      <c r="S129" s="193" t="str">
        <f>IF(J129="Duplex",VLOOKUP(M129,'Características dos Cabos MX CH'!$C$12:$I$14,6),(IF(J129="Triplex",VLOOKUP(M129,'Características dos Cabos MX CH'!$C$15:$J$20,6),(IF(J129="Quadruplex",VLOOKUP(M129,'Características dos Cabos MX CH'!$C$21:$K$27,6),(IF(J129="13",VLOOKUP(M129,'Características dos Cabos MX CH'!$C$15:$L$20,6),"")))))))</f>
        <v/>
      </c>
      <c r="T129" s="194" t="str">
        <f t="shared" si="27"/>
        <v/>
      </c>
      <c r="U129" s="447" t="str">
        <f>IF(J129="Duplex",VLOOKUP(M129,'Características dos Cabos MX CH'!$C$12:$I$14,2),(IF(J129="Triplex",VLOOKUP(M129,'Características dos Cabos MX CH'!$C$15:$J$20,2),(IF(J129="Quadruplex",VLOOKUP(M129,'Características dos Cabos MX CH'!$C$21:$K$27,2),(IF(J129="13",VLOOKUP(M129,'Características dos Cabos MX CH'!$C$15:$L$20,2),"")))))))</f>
        <v/>
      </c>
      <c r="V129" s="193" t="str">
        <f>IF(J129="Duplex",VLOOKUP(M129,'Características dos Cabos MX CH'!$C$12:$I$14,3),(IF(J129="Triplex",VLOOKUP(M129,'Características dos Cabos MX CH'!$C$15:$J$20,3),(IF(J129="Quadruplex",VLOOKUP(M129,'Características dos Cabos MX CH'!$C$21:$K$27,3),(IF(J129="13",VLOOKUP(M129,'Características dos Cabos MX CH'!$C$15:$L$20,3),"")))))))</f>
        <v/>
      </c>
      <c r="W129" s="195" t="str">
        <f t="shared" si="30"/>
        <v/>
      </c>
      <c r="X129" s="195" t="str">
        <f t="shared" si="31"/>
        <v/>
      </c>
      <c r="Y129" s="196" t="str">
        <f t="shared" si="32"/>
        <v/>
      </c>
      <c r="AA129" s="488">
        <f t="shared" si="33"/>
        <v>0</v>
      </c>
      <c r="AB129" s="488">
        <f t="shared" si="26"/>
        <v>0</v>
      </c>
      <c r="AC129" s="485"/>
      <c r="AE129" s="492" t="str">
        <f t="shared" si="23"/>
        <v/>
      </c>
      <c r="AF129" s="475">
        <f t="shared" si="28"/>
        <v>0</v>
      </c>
    </row>
    <row r="130" spans="1:32" ht="15" customHeight="1">
      <c r="A130" s="696"/>
      <c r="B130" s="698"/>
      <c r="C130" s="517"/>
      <c r="D130" s="520"/>
      <c r="E130" s="522"/>
      <c r="F130" s="521" t="str">
        <f t="shared" si="34"/>
        <v/>
      </c>
      <c r="G130" s="518"/>
      <c r="H130" s="190" t="str">
        <f>IF(AND(E130="",G130=""),"",SUM(F130:G135))</f>
        <v/>
      </c>
      <c r="I130" s="191"/>
      <c r="J130" s="514"/>
      <c r="K130" s="514"/>
      <c r="L130" s="197" t="str">
        <f>IF(J130="Duplex",VLOOKUP(M130,'Características dos Cabos M EX'!$C$12:$I$14,7),(IF(J130="Triplex",VLOOKUP(M130,'Características dos Cabos M EX'!$C$15:$J$20,8),(IF(J130="Quadruplex",VLOOKUP(M130,'Características dos Cabos M EX'!$C$21:$K$27,9),(IF(J130="13",VLOOKUP(M130,'Características dos Cabos M EX'!$C$15:$L$20,10),"")))))))</f>
        <v/>
      </c>
      <c r="M130" s="350" t="str">
        <f t="shared" si="24"/>
        <v/>
      </c>
      <c r="N130" s="519"/>
      <c r="O130" s="192" t="str">
        <f t="shared" si="29"/>
        <v/>
      </c>
      <c r="P130" s="192" t="str">
        <f>IF(O130="","",SUM($O$126:O130)+$Z$126)</f>
        <v/>
      </c>
      <c r="Q130" s="192" t="str">
        <f t="shared" si="25"/>
        <v/>
      </c>
      <c r="R130" s="193" t="str">
        <f>IF(J130="Duplex",VLOOKUP(M130,'Características dos Cabos MX CH'!$C$12:$I$14,5),(IF(J130="Triplex",VLOOKUP(M130,'Características dos Cabos MX CH'!$C$15:$J$20,5),(IF(J130="Quadruplex",VLOOKUP(M130,'Características dos Cabos MX CH'!$C$21:$K$27,5),(IF(J130="13",VLOOKUP(M130,'Características dos Cabos MX CH'!$C$15:$L$20,5),"")))))))</f>
        <v/>
      </c>
      <c r="S130" s="193" t="str">
        <f>IF(J130="Duplex",VLOOKUP(M130,'Características dos Cabos MX CH'!$C$12:$I$14,6),(IF(J130="Triplex",VLOOKUP(M130,'Características dos Cabos MX CH'!$C$15:$J$20,6),(IF(J130="Quadruplex",VLOOKUP(M130,'Características dos Cabos MX CH'!$C$21:$K$27,6),(IF(J130="13",VLOOKUP(M130,'Características dos Cabos MX CH'!$C$15:$L$20,6),"")))))))</f>
        <v/>
      </c>
      <c r="T130" s="194" t="str">
        <f t="shared" si="27"/>
        <v/>
      </c>
      <c r="U130" s="447" t="str">
        <f>IF(J130="Duplex",VLOOKUP(M130,'Características dos Cabos MX CH'!$C$12:$I$14,2),(IF(J130="Triplex",VLOOKUP(M130,'Características dos Cabos MX CH'!$C$15:$J$20,2),(IF(J130="Quadruplex",VLOOKUP(M130,'Características dos Cabos MX CH'!$C$21:$K$27,2),(IF(J130="13",VLOOKUP(M130,'Características dos Cabos MX CH'!$C$15:$L$20,2),"")))))))</f>
        <v/>
      </c>
      <c r="V130" s="193" t="str">
        <f>IF(J130="Duplex",VLOOKUP(M130,'Características dos Cabos MX CH'!$C$12:$I$14,3),(IF(J130="Triplex",VLOOKUP(M130,'Características dos Cabos MX CH'!$C$15:$J$20,3),(IF(J130="Quadruplex",VLOOKUP(M130,'Características dos Cabos MX CH'!$C$21:$K$27,3),(IF(J130="13",VLOOKUP(M130,'Características dos Cabos MX CH'!$C$15:$L$20,3),"")))))))</f>
        <v/>
      </c>
      <c r="W130" s="195" t="str">
        <f t="shared" si="30"/>
        <v/>
      </c>
      <c r="X130" s="195" t="str">
        <f t="shared" si="31"/>
        <v/>
      </c>
      <c r="Y130" s="196" t="str">
        <f t="shared" si="32"/>
        <v/>
      </c>
      <c r="AA130" s="488">
        <f t="shared" si="33"/>
        <v>0</v>
      </c>
      <c r="AB130" s="488">
        <f t="shared" si="26"/>
        <v>0</v>
      </c>
      <c r="AC130" s="485"/>
      <c r="AE130" s="492" t="str">
        <f t="shared" si="23"/>
        <v/>
      </c>
      <c r="AF130" s="475">
        <f t="shared" si="28"/>
        <v>0</v>
      </c>
    </row>
    <row r="131" spans="1:32" ht="15" customHeight="1">
      <c r="A131" s="696"/>
      <c r="B131" s="698"/>
      <c r="C131" s="517"/>
      <c r="D131" s="520"/>
      <c r="E131" s="522"/>
      <c r="F131" s="521" t="str">
        <f t="shared" si="34"/>
        <v/>
      </c>
      <c r="G131" s="518"/>
      <c r="H131" s="190" t="str">
        <f>IF(AND(E131="",G131=""),"",SUM(F131:G135))</f>
        <v/>
      </c>
      <c r="I131" s="191"/>
      <c r="J131" s="514"/>
      <c r="K131" s="514"/>
      <c r="L131" s="197" t="str">
        <f>IF(J131="Duplex",VLOOKUP(M131,'Características dos Cabos M EX'!$C$12:$I$14,7),(IF(J131="Triplex",VLOOKUP(M131,'Características dos Cabos M EX'!$C$15:$J$20,8),(IF(J131="Quadruplex",VLOOKUP(M131,'Características dos Cabos M EX'!$C$21:$K$27,9),(IF(J131="13",VLOOKUP(M131,'Características dos Cabos M EX'!$C$15:$L$20,10),"")))))))</f>
        <v/>
      </c>
      <c r="M131" s="350" t="str">
        <f t="shared" si="24"/>
        <v/>
      </c>
      <c r="N131" s="519"/>
      <c r="O131" s="192" t="str">
        <f t="shared" si="29"/>
        <v/>
      </c>
      <c r="P131" s="192" t="str">
        <f>IF(O131="","",SUM($O$126:O131)+$Z$126)</f>
        <v/>
      </c>
      <c r="Q131" s="192" t="str">
        <f t="shared" si="25"/>
        <v/>
      </c>
      <c r="R131" s="193" t="str">
        <f>IF(J131="Duplex",VLOOKUP(M131,'Características dos Cabos MX CH'!$C$12:$I$14,5),(IF(J131="Triplex",VLOOKUP(M131,'Características dos Cabos MX CH'!$C$15:$J$20,5),(IF(J131="Quadruplex",VLOOKUP(M131,'Características dos Cabos MX CH'!$C$21:$K$27,5),(IF(J131="13",VLOOKUP(M131,'Características dos Cabos MX CH'!$C$15:$L$20,5),"")))))))</f>
        <v/>
      </c>
      <c r="S131" s="193" t="str">
        <f>IF(J131="Duplex",VLOOKUP(M131,'Características dos Cabos MX CH'!$C$12:$I$14,6),(IF(J131="Triplex",VLOOKUP(M131,'Características dos Cabos MX CH'!$C$15:$J$20,6),(IF(J131="Quadruplex",VLOOKUP(M131,'Características dos Cabos MX CH'!$C$21:$K$27,6),(IF(J131="13",VLOOKUP(M131,'Características dos Cabos MX CH'!$C$15:$L$20,6),"")))))))</f>
        <v/>
      </c>
      <c r="T131" s="194" t="str">
        <f t="shared" si="27"/>
        <v/>
      </c>
      <c r="U131" s="447" t="str">
        <f>IF(J131="Duplex",VLOOKUP(M131,'Características dos Cabos MX CH'!$C$12:$I$14,2),(IF(J131="Triplex",VLOOKUP(M131,'Características dos Cabos MX CH'!$C$15:$J$20,2),(IF(J131="Quadruplex",VLOOKUP(M131,'Características dos Cabos MX CH'!$C$21:$K$27,2),(IF(J131="13",VLOOKUP(M131,'Características dos Cabos MX CH'!$C$15:$L$20,2),"")))))))</f>
        <v/>
      </c>
      <c r="V131" s="193" t="str">
        <f>IF(J131="Duplex",VLOOKUP(M131,'Características dos Cabos MX CH'!$C$12:$I$14,3),(IF(J131="Triplex",VLOOKUP(M131,'Características dos Cabos MX CH'!$C$15:$J$20,3),(IF(J131="Quadruplex",VLOOKUP(M131,'Características dos Cabos MX CH'!$C$21:$K$27,3),(IF(J131="13",VLOOKUP(M131,'Características dos Cabos MX CH'!$C$15:$L$20,3),"")))))))</f>
        <v/>
      </c>
      <c r="W131" s="195" t="str">
        <f t="shared" si="30"/>
        <v/>
      </c>
      <c r="X131" s="195" t="str">
        <f t="shared" si="31"/>
        <v/>
      </c>
      <c r="Y131" s="196" t="str">
        <f t="shared" si="32"/>
        <v/>
      </c>
      <c r="AA131" s="488">
        <f t="shared" si="33"/>
        <v>0</v>
      </c>
      <c r="AB131" s="488">
        <f t="shared" si="26"/>
        <v>0</v>
      </c>
      <c r="AC131" s="485"/>
      <c r="AE131" s="492" t="str">
        <f t="shared" si="23"/>
        <v/>
      </c>
      <c r="AF131" s="475">
        <f t="shared" si="28"/>
        <v>0</v>
      </c>
    </row>
    <row r="132" spans="1:32" ht="15" customHeight="1">
      <c r="A132" s="696"/>
      <c r="B132" s="698"/>
      <c r="C132" s="517"/>
      <c r="D132" s="520"/>
      <c r="E132" s="522"/>
      <c r="F132" s="521" t="str">
        <f t="shared" si="34"/>
        <v/>
      </c>
      <c r="G132" s="518"/>
      <c r="H132" s="190" t="str">
        <f>IF(AND(E132="",G132=""),"",SUM(F132:G135))</f>
        <v/>
      </c>
      <c r="I132" s="191"/>
      <c r="J132" s="514"/>
      <c r="K132" s="514"/>
      <c r="L132" s="197" t="str">
        <f>IF(J132="Duplex",VLOOKUP(M132,'Características dos Cabos M EX'!$C$12:$I$14,7),(IF(J132="Triplex",VLOOKUP(M132,'Características dos Cabos M EX'!$C$15:$J$20,8),(IF(J132="Quadruplex",VLOOKUP(M132,'Características dos Cabos M EX'!$C$21:$K$27,9),(IF(J132="13",VLOOKUP(M132,'Características dos Cabos M EX'!$C$15:$L$20,10),"")))))))</f>
        <v/>
      </c>
      <c r="M132" s="350" t="str">
        <f t="shared" si="24"/>
        <v/>
      </c>
      <c r="N132" s="519"/>
      <c r="O132" s="192" t="str">
        <f t="shared" si="29"/>
        <v/>
      </c>
      <c r="P132" s="192" t="str">
        <f>IF(O132="","",SUM($O$126:O132)+$Z$126)</f>
        <v/>
      </c>
      <c r="Q132" s="192" t="str">
        <f t="shared" si="25"/>
        <v/>
      </c>
      <c r="R132" s="193" t="str">
        <f>IF(J132="Duplex",VLOOKUP(M132,'Características dos Cabos MX CH'!$C$12:$I$14,5),(IF(J132="Triplex",VLOOKUP(M132,'Características dos Cabos MX CH'!$C$15:$J$20,5),(IF(J132="Quadruplex",VLOOKUP(M132,'Características dos Cabos MX CH'!$C$21:$K$27,5),(IF(J132="13",VLOOKUP(M132,'Características dos Cabos MX CH'!$C$15:$L$20,5),"")))))))</f>
        <v/>
      </c>
      <c r="S132" s="193" t="str">
        <f>IF(J132="Duplex",VLOOKUP(M132,'Características dos Cabos MX CH'!$C$12:$I$14,6),(IF(J132="Triplex",VLOOKUP(M132,'Características dos Cabos MX CH'!$C$15:$J$20,6),(IF(J132="Quadruplex",VLOOKUP(M132,'Características dos Cabos MX CH'!$C$21:$K$27,6),(IF(J132="13",VLOOKUP(M132,'Características dos Cabos MX CH'!$C$15:$L$20,6),"")))))))</f>
        <v/>
      </c>
      <c r="T132" s="194" t="str">
        <f t="shared" si="27"/>
        <v/>
      </c>
      <c r="U132" s="447" t="str">
        <f>IF(J132="Duplex",VLOOKUP(M132,'Características dos Cabos MX CH'!$C$12:$I$14,2),(IF(J132="Triplex",VLOOKUP(M132,'Características dos Cabos MX CH'!$C$15:$J$20,2),(IF(J132="Quadruplex",VLOOKUP(M132,'Características dos Cabos MX CH'!$C$21:$K$27,2),(IF(J132="13",VLOOKUP(M132,'Características dos Cabos MX CH'!$C$15:$L$20,2),"")))))))</f>
        <v/>
      </c>
      <c r="V132" s="193" t="str">
        <f>IF(J132="Duplex",VLOOKUP(M132,'Características dos Cabos MX CH'!$C$12:$I$14,3),(IF(J132="Triplex",VLOOKUP(M132,'Características dos Cabos MX CH'!$C$15:$J$20,3),(IF(J132="Quadruplex",VLOOKUP(M132,'Características dos Cabos MX CH'!$C$21:$K$27,3),(IF(J132="13",VLOOKUP(M132,'Características dos Cabos MX CH'!$C$15:$L$20,3),"")))))))</f>
        <v/>
      </c>
      <c r="W132" s="195" t="str">
        <f t="shared" si="30"/>
        <v/>
      </c>
      <c r="X132" s="195" t="str">
        <f t="shared" si="31"/>
        <v/>
      </c>
      <c r="Y132" s="196" t="str">
        <f t="shared" si="32"/>
        <v/>
      </c>
      <c r="AA132" s="488">
        <f t="shared" si="33"/>
        <v>0</v>
      </c>
      <c r="AB132" s="488">
        <f t="shared" si="26"/>
        <v>0</v>
      </c>
      <c r="AC132" s="485"/>
      <c r="AE132" s="492" t="str">
        <f t="shared" si="23"/>
        <v/>
      </c>
      <c r="AF132" s="475">
        <f t="shared" si="28"/>
        <v>0</v>
      </c>
    </row>
    <row r="133" spans="1:32" ht="15" customHeight="1">
      <c r="A133" s="696"/>
      <c r="B133" s="698"/>
      <c r="C133" s="517"/>
      <c r="D133" s="520"/>
      <c r="E133" s="522"/>
      <c r="F133" s="521" t="str">
        <f t="shared" si="34"/>
        <v/>
      </c>
      <c r="G133" s="518"/>
      <c r="H133" s="190" t="str">
        <f>IF(AND(E133="",G133=""),"",SUM(F133:G135))</f>
        <v/>
      </c>
      <c r="I133" s="191"/>
      <c r="J133" s="514"/>
      <c r="K133" s="514"/>
      <c r="L133" s="197" t="str">
        <f>IF(J133="Duplex",VLOOKUP(M133,'Características dos Cabos M EX'!$C$12:$I$14,7),(IF(J133="Triplex",VLOOKUP(M133,'Características dos Cabos M EX'!$C$15:$J$20,8),(IF(J133="Quadruplex",VLOOKUP(M133,'Características dos Cabos M EX'!$C$21:$K$27,9),(IF(J133="13",VLOOKUP(M133,'Características dos Cabos M EX'!$C$15:$L$20,10),"")))))))</f>
        <v/>
      </c>
      <c r="M133" s="350" t="str">
        <f t="shared" si="24"/>
        <v/>
      </c>
      <c r="N133" s="519"/>
      <c r="O133" s="192" t="str">
        <f t="shared" si="29"/>
        <v/>
      </c>
      <c r="P133" s="192" t="str">
        <f>IF(O133="","",SUM($O$126:O133)+$Z$126)</f>
        <v/>
      </c>
      <c r="Q133" s="192" t="str">
        <f t="shared" si="25"/>
        <v/>
      </c>
      <c r="R133" s="193" t="str">
        <f>IF(J133="Duplex",VLOOKUP(M133,'Características dos Cabos MX CH'!$C$12:$I$14,5),(IF(J133="Triplex",VLOOKUP(M133,'Características dos Cabos MX CH'!$C$15:$J$20,5),(IF(J133="Quadruplex",VLOOKUP(M133,'Características dos Cabos MX CH'!$C$21:$K$27,5),(IF(J133="13",VLOOKUP(M133,'Características dos Cabos MX CH'!$C$15:$L$20,5),"")))))))</f>
        <v/>
      </c>
      <c r="S133" s="193" t="str">
        <f>IF(J133="Duplex",VLOOKUP(M133,'Características dos Cabos MX CH'!$C$12:$I$14,6),(IF(J133="Triplex",VLOOKUP(M133,'Características dos Cabos MX CH'!$C$15:$J$20,6),(IF(J133="Quadruplex",VLOOKUP(M133,'Características dos Cabos MX CH'!$C$21:$K$27,6),(IF(J133="13",VLOOKUP(M133,'Características dos Cabos MX CH'!$C$15:$L$20,6),"")))))))</f>
        <v/>
      </c>
      <c r="T133" s="194" t="str">
        <f t="shared" si="27"/>
        <v/>
      </c>
      <c r="U133" s="447" t="str">
        <f>IF(J133="Duplex",VLOOKUP(M133,'Características dos Cabos MX CH'!$C$12:$I$14,2),(IF(J133="Triplex",VLOOKUP(M133,'Características dos Cabos MX CH'!$C$15:$J$20,2),(IF(J133="Quadruplex",VLOOKUP(M133,'Características dos Cabos MX CH'!$C$21:$K$27,2),(IF(J133="13",VLOOKUP(M133,'Características dos Cabos MX CH'!$C$15:$L$20,2),"")))))))</f>
        <v/>
      </c>
      <c r="V133" s="193" t="str">
        <f>IF(J133="Duplex",VLOOKUP(M133,'Características dos Cabos MX CH'!$C$12:$I$14,3),(IF(J133="Triplex",VLOOKUP(M133,'Características dos Cabos MX CH'!$C$15:$J$20,3),(IF(J133="Quadruplex",VLOOKUP(M133,'Características dos Cabos MX CH'!$C$21:$K$27,3),(IF(J133="13",VLOOKUP(M133,'Características dos Cabos MX CH'!$C$15:$L$20,3),"")))))))</f>
        <v/>
      </c>
      <c r="W133" s="195" t="str">
        <f t="shared" si="30"/>
        <v/>
      </c>
      <c r="X133" s="195" t="str">
        <f t="shared" si="31"/>
        <v/>
      </c>
      <c r="Y133" s="196" t="str">
        <f t="shared" si="32"/>
        <v/>
      </c>
      <c r="AA133" s="488">
        <f t="shared" si="33"/>
        <v>0</v>
      </c>
      <c r="AB133" s="488">
        <f t="shared" si="26"/>
        <v>0</v>
      </c>
      <c r="AC133" s="485"/>
      <c r="AE133" s="492" t="str">
        <f t="shared" si="23"/>
        <v/>
      </c>
      <c r="AF133" s="475">
        <f t="shared" si="28"/>
        <v>0</v>
      </c>
    </row>
    <row r="134" spans="1:32" ht="15" customHeight="1">
      <c r="A134" s="696"/>
      <c r="B134" s="698"/>
      <c r="C134" s="517"/>
      <c r="D134" s="520"/>
      <c r="E134" s="522"/>
      <c r="F134" s="521" t="str">
        <f t="shared" si="34"/>
        <v/>
      </c>
      <c r="G134" s="518"/>
      <c r="H134" s="190" t="str">
        <f>IF(AND(E134="",G134=""),"",SUM(F134:G135))</f>
        <v/>
      </c>
      <c r="I134" s="191"/>
      <c r="J134" s="514"/>
      <c r="K134" s="514"/>
      <c r="L134" s="197" t="str">
        <f>IF(J134="Duplex",VLOOKUP(M134,'Características dos Cabos M EX'!$C$12:$I$14,7),(IF(J134="Triplex",VLOOKUP(M134,'Características dos Cabos M EX'!$C$15:$J$20,8),(IF(J134="Quadruplex",VLOOKUP(M134,'Características dos Cabos M EX'!$C$21:$K$27,9),(IF(J134="13",VLOOKUP(M134,'Características dos Cabos M EX'!$C$15:$L$20,10),"")))))))</f>
        <v/>
      </c>
      <c r="M134" s="350" t="str">
        <f t="shared" si="24"/>
        <v/>
      </c>
      <c r="N134" s="519"/>
      <c r="O134" s="192" t="str">
        <f t="shared" si="29"/>
        <v/>
      </c>
      <c r="P134" s="192" t="str">
        <f>IF(O134="","",SUM($O$126:O134)+$Z$126)</f>
        <v/>
      </c>
      <c r="Q134" s="192" t="str">
        <f t="shared" si="25"/>
        <v/>
      </c>
      <c r="R134" s="193" t="str">
        <f>IF(J134="Duplex",VLOOKUP(M134,'Características dos Cabos MX CH'!$C$12:$I$14,5),(IF(J134="Triplex",VLOOKUP(M134,'Características dos Cabos MX CH'!$C$15:$J$20,5),(IF(J134="Quadruplex",VLOOKUP(M134,'Características dos Cabos MX CH'!$C$21:$K$27,5),(IF(J134="13",VLOOKUP(M134,'Características dos Cabos MX CH'!$C$15:$L$20,5),"")))))))</f>
        <v/>
      </c>
      <c r="S134" s="193" t="str">
        <f>IF(J134="Duplex",VLOOKUP(M134,'Características dos Cabos MX CH'!$C$12:$I$14,6),(IF(J134="Triplex",VLOOKUP(M134,'Características dos Cabos MX CH'!$C$15:$J$20,6),(IF(J134="Quadruplex",VLOOKUP(M134,'Características dos Cabos MX CH'!$C$21:$K$27,6),(IF(J134="13",VLOOKUP(M134,'Características dos Cabos MX CH'!$C$15:$L$20,6),"")))))))</f>
        <v/>
      </c>
      <c r="T134" s="194" t="str">
        <f t="shared" si="27"/>
        <v/>
      </c>
      <c r="U134" s="447" t="str">
        <f>IF(J134="Duplex",VLOOKUP(M134,'Características dos Cabos MX CH'!$C$12:$I$14,2),(IF(J134="Triplex",VLOOKUP(M134,'Características dos Cabos MX CH'!$C$15:$J$20,2),(IF(J134="Quadruplex",VLOOKUP(M134,'Características dos Cabos MX CH'!$C$21:$K$27,2),(IF(J134="13",VLOOKUP(M134,'Características dos Cabos MX CH'!$C$15:$L$20,2),"")))))))</f>
        <v/>
      </c>
      <c r="V134" s="193" t="str">
        <f>IF(J134="Duplex",VLOOKUP(M134,'Características dos Cabos MX CH'!$C$12:$I$14,3),(IF(J134="Triplex",VLOOKUP(M134,'Características dos Cabos MX CH'!$C$15:$J$20,3),(IF(J134="Quadruplex",VLOOKUP(M134,'Características dos Cabos MX CH'!$C$21:$K$27,3),(IF(J134="13",VLOOKUP(M134,'Características dos Cabos MX CH'!$C$15:$L$20,3),"")))))))</f>
        <v/>
      </c>
      <c r="W134" s="195" t="str">
        <f t="shared" si="30"/>
        <v/>
      </c>
      <c r="X134" s="195" t="str">
        <f t="shared" si="31"/>
        <v/>
      </c>
      <c r="Y134" s="196" t="str">
        <f t="shared" si="32"/>
        <v/>
      </c>
      <c r="AA134" s="488">
        <f t="shared" si="33"/>
        <v>0</v>
      </c>
      <c r="AB134" s="488">
        <f t="shared" si="26"/>
        <v>0</v>
      </c>
      <c r="AC134" s="485"/>
      <c r="AE134" s="492" t="str">
        <f t="shared" si="23"/>
        <v/>
      </c>
      <c r="AF134" s="475">
        <f t="shared" si="28"/>
        <v>0</v>
      </c>
    </row>
    <row r="135" spans="1:32" ht="15" customHeight="1" thickBot="1">
      <c r="A135" s="696"/>
      <c r="B135" s="699"/>
      <c r="C135" s="523"/>
      <c r="D135" s="524"/>
      <c r="E135" s="523"/>
      <c r="F135" s="526" t="str">
        <f t="shared" si="34"/>
        <v/>
      </c>
      <c r="G135" s="527"/>
      <c r="H135" s="200" t="str">
        <f>IF(AND(E135="",G135=""),"",SUM(F135:G135))</f>
        <v/>
      </c>
      <c r="I135" s="201"/>
      <c r="J135" s="528"/>
      <c r="K135" s="528"/>
      <c r="L135" s="202" t="str">
        <f>IF(J135="Duplex",VLOOKUP(M135,'Características dos Cabos M EX'!$C$12:$I$14,7),(IF(J135="Triplex",VLOOKUP(M135,'Características dos Cabos M EX'!$C$15:$J$20,8),(IF(J135="Quadruplex",VLOOKUP(M135,'Características dos Cabos M EX'!$C$21:$K$27,9),(IF(J135="13",VLOOKUP(M135,'Características dos Cabos M EX'!$C$15:$L$20,10),"")))))))</f>
        <v/>
      </c>
      <c r="M135" s="353" t="str">
        <f t="shared" si="24"/>
        <v/>
      </c>
      <c r="N135" s="529"/>
      <c r="O135" s="203" t="str">
        <f t="shared" si="29"/>
        <v/>
      </c>
      <c r="P135" s="203" t="str">
        <f>IF(O135="","",SUM($O$126:O135)+$Z$126)</f>
        <v/>
      </c>
      <c r="Q135" s="203" t="str">
        <f t="shared" si="25"/>
        <v/>
      </c>
      <c r="R135" s="204" t="str">
        <f>IF(J135="Duplex",VLOOKUP(M135,'Características dos Cabos MX CH'!$C$12:$I$14,5),(IF(J135="Triplex",VLOOKUP(M135,'Características dos Cabos MX CH'!$C$15:$J$20,5),(IF(J135="Quadruplex",VLOOKUP(M135,'Características dos Cabos MX CH'!$C$21:$K$27,5),(IF(J135="13",VLOOKUP(M135,'Características dos Cabos MX CH'!$C$15:$L$20,5),"")))))))</f>
        <v/>
      </c>
      <c r="S135" s="204" t="str">
        <f>IF(J135="Duplex",VLOOKUP(M135,'Características dos Cabos MX CH'!$C$12:$I$14,6),(IF(J135="Triplex",VLOOKUP(M135,'Características dos Cabos MX CH'!$C$15:$J$20,6),(IF(J135="Quadruplex",VLOOKUP(M135,'Características dos Cabos MX CH'!$C$21:$K$27,6),(IF(J135="13",VLOOKUP(M135,'Características dos Cabos MX CH'!$C$15:$L$20,6),"")))))))</f>
        <v/>
      </c>
      <c r="T135" s="205" t="str">
        <f t="shared" si="27"/>
        <v/>
      </c>
      <c r="U135" s="448" t="str">
        <f>IF(J135="Duplex",VLOOKUP(M135,'Características dos Cabos MX CH'!$C$12:$I$14,2),(IF(J135="Triplex",VLOOKUP(M135,'Características dos Cabos MX CH'!$C$15:$J$20,2),(IF(J135="Quadruplex",VLOOKUP(M135,'Características dos Cabos MX CH'!$C$21:$K$27,2),(IF(J135="13",VLOOKUP(M135,'Características dos Cabos MX CH'!$C$15:$L$20,2),"")))))))</f>
        <v/>
      </c>
      <c r="V135" s="204" t="str">
        <f>IF(J135="Duplex",VLOOKUP(M135,'Características dos Cabos MX CH'!$C$12:$I$14,3),(IF(J135="Triplex",VLOOKUP(M135,'Características dos Cabos MX CH'!$C$15:$J$20,3),(IF(J135="Quadruplex",VLOOKUP(M135,'Características dos Cabos MX CH'!$C$21:$K$27,3),(IF(J135="13",VLOOKUP(M135,'Características dos Cabos MX CH'!$C$15:$L$20,3),"")))))))</f>
        <v/>
      </c>
      <c r="W135" s="206" t="str">
        <f t="shared" si="30"/>
        <v/>
      </c>
      <c r="X135" s="206" t="str">
        <f t="shared" si="31"/>
        <v/>
      </c>
      <c r="Y135" s="207" t="str">
        <f t="shared" si="32"/>
        <v/>
      </c>
      <c r="AA135" s="488">
        <f t="shared" si="33"/>
        <v>0</v>
      </c>
      <c r="AB135" s="488">
        <f t="shared" si="26"/>
        <v>0</v>
      </c>
      <c r="AC135" s="485"/>
      <c r="AE135" s="492" t="str">
        <f t="shared" si="23"/>
        <v/>
      </c>
      <c r="AF135" s="475">
        <f t="shared" si="28"/>
        <v>0</v>
      </c>
    </row>
    <row r="136" spans="1:32" ht="15" customHeight="1" thickTop="1">
      <c r="A136" s="696"/>
      <c r="B136" s="700" t="str">
        <f>CONCATENATE("Ramal 10 - Derivando no ponto ",C136)</f>
        <v xml:space="preserve">Ramal 10 - Derivando no ponto </v>
      </c>
      <c r="C136" s="532"/>
      <c r="D136" s="536"/>
      <c r="E136" s="537"/>
      <c r="F136" s="538" t="str">
        <f t="shared" si="34"/>
        <v/>
      </c>
      <c r="G136" s="539"/>
      <c r="H136" s="209" t="str">
        <f>IF(AND(E136="",G136=""),"",SUM(F136:G145))</f>
        <v/>
      </c>
      <c r="I136" s="210"/>
      <c r="J136" s="535"/>
      <c r="K136" s="535"/>
      <c r="L136" s="197" t="str">
        <f>IF(J136="Duplex",VLOOKUP(M136,'Características dos Cabos M EX'!$C$12:$I$14,7),(IF(J136="Triplex",VLOOKUP(M136,'Características dos Cabos M EX'!$C$15:$J$20,8),(IF(J136="Quadruplex",VLOOKUP(M136,'Características dos Cabos M EX'!$C$21:$K$27,9),(IF(J136="13",VLOOKUP(M136,'Características dos Cabos M EX'!$C$15:$L$20,10),"")))))))</f>
        <v/>
      </c>
      <c r="M136" s="354" t="str">
        <f t="shared" si="24"/>
        <v/>
      </c>
      <c r="N136" s="540"/>
      <c r="O136" s="212" t="str">
        <f t="shared" si="29"/>
        <v/>
      </c>
      <c r="P136" s="212" t="str">
        <f>IF(O136="","",O136+VLOOKUP(C136,$D$21:$Q$135,13,FALSE))</f>
        <v/>
      </c>
      <c r="Q136" s="212" t="str">
        <f t="shared" si="25"/>
        <v/>
      </c>
      <c r="R136" s="213" t="str">
        <f>IF(J136="Duplex",VLOOKUP(M136,'Características dos Cabos MX CH'!$C$12:$I$14,5),(IF(J136="Triplex",VLOOKUP(M136,'Características dos Cabos MX CH'!$C$15:$J$20,5),(IF(J136="Quadruplex",VLOOKUP(M136,'Características dos Cabos MX CH'!$C$21:$K$27,5),(IF(J136="13",VLOOKUP(M136,'Características dos Cabos MX CH'!$C$15:$L$20,5),"")))))))</f>
        <v/>
      </c>
      <c r="S136" s="213" t="str">
        <f>IF(J136="Duplex",VLOOKUP(M136,'Características dos Cabos MX CH'!$C$12:$I$14,6),(IF(J136="Triplex",VLOOKUP(M136,'Características dos Cabos MX CH'!$C$15:$J$20,6),(IF(J136="Quadruplex",VLOOKUP(M136,'Características dos Cabos MX CH'!$C$21:$K$27,6),(IF(J136="13",VLOOKUP(M136,'Características dos Cabos MX CH'!$C$15:$L$20,6),"")))))))</f>
        <v/>
      </c>
      <c r="T136" s="214" t="str">
        <f t="shared" si="27"/>
        <v/>
      </c>
      <c r="U136" s="450" t="str">
        <f>IF(J136="Duplex",VLOOKUP(M136,'Características dos Cabos MX CH'!$C$12:$I$14,2),(IF(J136="Triplex",VLOOKUP(M136,'Características dos Cabos MX CH'!$C$15:$J$20,2),(IF(J136="Quadruplex",VLOOKUP(M136,'Características dos Cabos MX CH'!$C$21:$K$27,2),(IF(J136="13",VLOOKUP(M136,'Características dos Cabos MX CH'!$C$15:$L$20,2),"")))))))</f>
        <v/>
      </c>
      <c r="V136" s="213" t="str">
        <f>IF(J136="Duplex",VLOOKUP(M136,'Características dos Cabos MX CH'!$C$12:$I$14,3),(IF(J136="Triplex",VLOOKUP(M136,'Características dos Cabos MX CH'!$C$15:$J$20,3),(IF(J136="Quadruplex",VLOOKUP(M136,'Características dos Cabos MX CH'!$C$21:$K$27,3),(IF(J136="13",VLOOKUP(M136,'Características dos Cabos MX CH'!$C$15:$L$20,3),"")))))))</f>
        <v/>
      </c>
      <c r="W136" s="215" t="str">
        <f t="shared" si="30"/>
        <v/>
      </c>
      <c r="X136" s="215" t="str">
        <f t="shared" si="31"/>
        <v/>
      </c>
      <c r="Y136" s="216" t="str">
        <f t="shared" si="32"/>
        <v/>
      </c>
      <c r="Z136" s="463" t="str">
        <f>IF(O136="","",VLOOKUP(C136,$D$21:$P$135,13,FALSE))</f>
        <v/>
      </c>
      <c r="AA136" s="488">
        <f t="shared" si="33"/>
        <v>0</v>
      </c>
      <c r="AB136" s="488">
        <f t="shared" si="26"/>
        <v>0</v>
      </c>
      <c r="AC136" s="485"/>
      <c r="AE136" s="492" t="str">
        <f t="shared" si="23"/>
        <v/>
      </c>
      <c r="AF136" s="475">
        <f t="shared" si="28"/>
        <v>0</v>
      </c>
    </row>
    <row r="137" spans="1:32" ht="15" customHeight="1">
      <c r="A137" s="696"/>
      <c r="B137" s="698"/>
      <c r="C137" s="517"/>
      <c r="D137" s="520"/>
      <c r="E137" s="522"/>
      <c r="F137" s="521" t="str">
        <f t="shared" si="34"/>
        <v/>
      </c>
      <c r="G137" s="518"/>
      <c r="H137" s="190" t="str">
        <f>IF(AND(E137="",G137=""),"",SUM(F137:G145))</f>
        <v/>
      </c>
      <c r="I137" s="191"/>
      <c r="J137" s="514"/>
      <c r="K137" s="514"/>
      <c r="L137" s="197" t="str">
        <f>IF(J137="Duplex",VLOOKUP(M137,'Características dos Cabos M EX'!$C$12:$I$14,7),(IF(J137="Triplex",VLOOKUP(M137,'Características dos Cabos M EX'!$C$15:$J$20,8),(IF(J137="Quadruplex",VLOOKUP(M137,'Características dos Cabos M EX'!$C$21:$K$27,9),(IF(J137="13",VLOOKUP(M137,'Características dos Cabos M EX'!$C$15:$L$20,10),"")))))))</f>
        <v/>
      </c>
      <c r="M137" s="350" t="str">
        <f t="shared" si="24"/>
        <v/>
      </c>
      <c r="N137" s="519"/>
      <c r="O137" s="192" t="str">
        <f t="shared" si="29"/>
        <v/>
      </c>
      <c r="P137" s="192" t="str">
        <f>IF(O137="","",SUM($O$136:O137)+$Z$136)</f>
        <v/>
      </c>
      <c r="Q137" s="192" t="str">
        <f t="shared" si="25"/>
        <v/>
      </c>
      <c r="R137" s="193" t="str">
        <f>IF(J137="Duplex",VLOOKUP(M137,'Características dos Cabos MX CH'!$C$12:$I$14,5),(IF(J137="Triplex",VLOOKUP(M137,'Características dos Cabos MX CH'!$C$15:$J$20,5),(IF(J137="Quadruplex",VLOOKUP(M137,'Características dos Cabos MX CH'!$C$21:$K$27,5),(IF(J137="13",VLOOKUP(M137,'Características dos Cabos MX CH'!$C$15:$L$20,5),"")))))))</f>
        <v/>
      </c>
      <c r="S137" s="193" t="str">
        <f>IF(J137="Duplex",VLOOKUP(M137,'Características dos Cabos MX CH'!$C$12:$I$14,6),(IF(J137="Triplex",VLOOKUP(M137,'Características dos Cabos MX CH'!$C$15:$J$20,6),(IF(J137="Quadruplex",VLOOKUP(M137,'Características dos Cabos MX CH'!$C$21:$K$27,6),(IF(J137="13",VLOOKUP(M137,'Características dos Cabos MX CH'!$C$15:$L$20,6),"")))))))</f>
        <v/>
      </c>
      <c r="T137" s="194" t="str">
        <f t="shared" si="27"/>
        <v/>
      </c>
      <c r="U137" s="447" t="str">
        <f>IF(J137="Duplex",VLOOKUP(M137,'Características dos Cabos MX CH'!$C$12:$I$14,2),(IF(J137="Triplex",VLOOKUP(M137,'Características dos Cabos MX CH'!$C$15:$J$20,2),(IF(J137="Quadruplex",VLOOKUP(M137,'Características dos Cabos MX CH'!$C$21:$K$27,2),(IF(J137="13",VLOOKUP(M137,'Características dos Cabos MX CH'!$C$15:$L$20,2),"")))))))</f>
        <v/>
      </c>
      <c r="V137" s="193" t="str">
        <f>IF(J137="Duplex",VLOOKUP(M137,'Características dos Cabos MX CH'!$C$12:$I$14,3),(IF(J137="Triplex",VLOOKUP(M137,'Características dos Cabos MX CH'!$C$15:$J$20,3),(IF(J137="Quadruplex",VLOOKUP(M137,'Características dos Cabos MX CH'!$C$21:$K$27,3),(IF(J137="13",VLOOKUP(M137,'Características dos Cabos MX CH'!$C$15:$L$20,3),"")))))))</f>
        <v/>
      </c>
      <c r="W137" s="195" t="str">
        <f t="shared" si="30"/>
        <v/>
      </c>
      <c r="X137" s="195" t="str">
        <f t="shared" si="31"/>
        <v/>
      </c>
      <c r="Y137" s="196" t="str">
        <f t="shared" si="32"/>
        <v/>
      </c>
      <c r="AA137" s="488">
        <f t="shared" si="33"/>
        <v>0</v>
      </c>
      <c r="AB137" s="488">
        <f t="shared" si="26"/>
        <v>0</v>
      </c>
      <c r="AC137" s="485"/>
      <c r="AE137" s="492" t="str">
        <f t="shared" si="23"/>
        <v/>
      </c>
      <c r="AF137" s="475">
        <f t="shared" si="28"/>
        <v>0</v>
      </c>
    </row>
    <row r="138" spans="1:32" ht="15" customHeight="1">
      <c r="A138" s="696"/>
      <c r="B138" s="698"/>
      <c r="C138" s="517"/>
      <c r="D138" s="520"/>
      <c r="E138" s="522"/>
      <c r="F138" s="521" t="str">
        <f t="shared" si="34"/>
        <v/>
      </c>
      <c r="G138" s="518"/>
      <c r="H138" s="190" t="str">
        <f>IF(AND(E138="",G138=""),"",SUM(F138:G145))</f>
        <v/>
      </c>
      <c r="I138" s="191"/>
      <c r="J138" s="514"/>
      <c r="K138" s="514"/>
      <c r="L138" s="197" t="str">
        <f>IF(J138="Duplex",VLOOKUP(M138,'Características dos Cabos M EX'!$C$12:$I$14,7),(IF(J138="Triplex",VLOOKUP(M138,'Características dos Cabos M EX'!$C$15:$J$20,8),(IF(J138="Quadruplex",VLOOKUP(M138,'Características dos Cabos M EX'!$C$21:$K$27,9),(IF(J138="13",VLOOKUP(M138,'Características dos Cabos M EX'!$C$15:$L$20,10),"")))))))</f>
        <v/>
      </c>
      <c r="M138" s="350" t="str">
        <f t="shared" si="24"/>
        <v/>
      </c>
      <c r="N138" s="519"/>
      <c r="O138" s="192" t="str">
        <f t="shared" si="29"/>
        <v/>
      </c>
      <c r="P138" s="192" t="str">
        <f>IF(O138="","",SUM($O$136:O138)+$Z$136)</f>
        <v/>
      </c>
      <c r="Q138" s="192" t="str">
        <f t="shared" si="25"/>
        <v/>
      </c>
      <c r="R138" s="193" t="str">
        <f>IF(J138="Duplex",VLOOKUP(M138,'Características dos Cabos MX CH'!$C$12:$I$14,5),(IF(J138="Triplex",VLOOKUP(M138,'Características dos Cabos MX CH'!$C$15:$J$20,5),(IF(J138="Quadruplex",VLOOKUP(M138,'Características dos Cabos MX CH'!$C$21:$K$27,5),(IF(J138="13",VLOOKUP(M138,'Características dos Cabos MX CH'!$C$15:$L$20,5),"")))))))</f>
        <v/>
      </c>
      <c r="S138" s="193" t="str">
        <f>IF(J138="Duplex",VLOOKUP(M138,'Características dos Cabos MX CH'!$C$12:$I$14,6),(IF(J138="Triplex",VLOOKUP(M138,'Características dos Cabos MX CH'!$C$15:$J$20,6),(IF(J138="Quadruplex",VLOOKUP(M138,'Características dos Cabos MX CH'!$C$21:$K$27,6),(IF(J138="13",VLOOKUP(M138,'Características dos Cabos MX CH'!$C$15:$L$20,6),"")))))))</f>
        <v/>
      </c>
      <c r="T138" s="194" t="str">
        <f t="shared" si="27"/>
        <v/>
      </c>
      <c r="U138" s="447" t="str">
        <f>IF(J138="Duplex",VLOOKUP(M138,'Características dos Cabos MX CH'!$C$12:$I$14,2),(IF(J138="Triplex",VLOOKUP(M138,'Características dos Cabos MX CH'!$C$15:$J$20,2),(IF(J138="Quadruplex",VLOOKUP(M138,'Características dos Cabos MX CH'!$C$21:$K$27,2),(IF(J138="13",VLOOKUP(M138,'Características dos Cabos MX CH'!$C$15:$L$20,2),"")))))))</f>
        <v/>
      </c>
      <c r="V138" s="193" t="str">
        <f>IF(J138="Duplex",VLOOKUP(M138,'Características dos Cabos MX CH'!$C$12:$I$14,3),(IF(J138="Triplex",VLOOKUP(M138,'Características dos Cabos MX CH'!$C$15:$J$20,3),(IF(J138="Quadruplex",VLOOKUP(M138,'Características dos Cabos MX CH'!$C$21:$K$27,3),(IF(J138="13",VLOOKUP(M138,'Características dos Cabos MX CH'!$C$15:$L$20,3),"")))))))</f>
        <v/>
      </c>
      <c r="W138" s="195" t="str">
        <f t="shared" si="30"/>
        <v/>
      </c>
      <c r="X138" s="195" t="str">
        <f t="shared" si="31"/>
        <v/>
      </c>
      <c r="Y138" s="196" t="str">
        <f t="shared" si="32"/>
        <v/>
      </c>
      <c r="AA138" s="488">
        <f t="shared" si="33"/>
        <v>0</v>
      </c>
      <c r="AB138" s="488">
        <f t="shared" si="26"/>
        <v>0</v>
      </c>
      <c r="AC138" s="485"/>
      <c r="AE138" s="492" t="str">
        <f t="shared" si="23"/>
        <v/>
      </c>
      <c r="AF138" s="475">
        <f t="shared" si="28"/>
        <v>0</v>
      </c>
    </row>
    <row r="139" spans="1:32" ht="15" customHeight="1">
      <c r="A139" s="696"/>
      <c r="B139" s="698"/>
      <c r="C139" s="517"/>
      <c r="D139" s="520"/>
      <c r="E139" s="522"/>
      <c r="F139" s="521" t="str">
        <f t="shared" si="34"/>
        <v/>
      </c>
      <c r="G139" s="518"/>
      <c r="H139" s="190" t="str">
        <f>IF(AND(E139="",G139=""),"",SUM(F139:G145))</f>
        <v/>
      </c>
      <c r="I139" s="191"/>
      <c r="J139" s="514"/>
      <c r="K139" s="514"/>
      <c r="L139" s="197" t="str">
        <f>IF(J139="Duplex",VLOOKUP(M139,'Características dos Cabos M EX'!$C$12:$I$14,7),(IF(J139="Triplex",VLOOKUP(M139,'Características dos Cabos M EX'!$C$15:$J$20,8),(IF(J139="Quadruplex",VLOOKUP(M139,'Características dos Cabos M EX'!$C$21:$K$27,9),(IF(J139="13",VLOOKUP(M139,'Características dos Cabos M EX'!$C$15:$L$20,10),"")))))))</f>
        <v/>
      </c>
      <c r="M139" s="350" t="str">
        <f t="shared" si="24"/>
        <v/>
      </c>
      <c r="N139" s="519"/>
      <c r="O139" s="192" t="str">
        <f t="shared" si="29"/>
        <v/>
      </c>
      <c r="P139" s="192" t="str">
        <f>IF(O139="","",SUM($O$136:O139)+$Z$136)</f>
        <v/>
      </c>
      <c r="Q139" s="192" t="str">
        <f t="shared" si="25"/>
        <v/>
      </c>
      <c r="R139" s="193" t="str">
        <f>IF(J139="Duplex",VLOOKUP(M139,'Características dos Cabos MX CH'!$C$12:$I$14,5),(IF(J139="Triplex",VLOOKUP(M139,'Características dos Cabos MX CH'!$C$15:$J$20,5),(IF(J139="Quadruplex",VLOOKUP(M139,'Características dos Cabos MX CH'!$C$21:$K$27,5),(IF(J139="13",VLOOKUP(M139,'Características dos Cabos MX CH'!$C$15:$L$20,5),"")))))))</f>
        <v/>
      </c>
      <c r="S139" s="193" t="str">
        <f>IF(J139="Duplex",VLOOKUP(M139,'Características dos Cabos MX CH'!$C$12:$I$14,6),(IF(J139="Triplex",VLOOKUP(M139,'Características dos Cabos MX CH'!$C$15:$J$20,6),(IF(J139="Quadruplex",VLOOKUP(M139,'Características dos Cabos MX CH'!$C$21:$K$27,6),(IF(J139="13",VLOOKUP(M139,'Características dos Cabos MX CH'!$C$15:$L$20,6),"")))))))</f>
        <v/>
      </c>
      <c r="T139" s="194" t="str">
        <f t="shared" si="27"/>
        <v/>
      </c>
      <c r="U139" s="447" t="str">
        <f>IF(J139="Duplex",VLOOKUP(M139,'Características dos Cabos MX CH'!$C$12:$I$14,2),(IF(J139="Triplex",VLOOKUP(M139,'Características dos Cabos MX CH'!$C$15:$J$20,2),(IF(J139="Quadruplex",VLOOKUP(M139,'Características dos Cabos MX CH'!$C$21:$K$27,2),(IF(J139="13",VLOOKUP(M139,'Características dos Cabos MX CH'!$C$15:$L$20,2),"")))))))</f>
        <v/>
      </c>
      <c r="V139" s="193" t="str">
        <f>IF(J139="Duplex",VLOOKUP(M139,'Características dos Cabos MX CH'!$C$12:$I$14,3),(IF(J139="Triplex",VLOOKUP(M139,'Características dos Cabos MX CH'!$C$15:$J$20,3),(IF(J139="Quadruplex",VLOOKUP(M139,'Características dos Cabos MX CH'!$C$21:$K$27,3),(IF(J139="13",VLOOKUP(M139,'Características dos Cabos MX CH'!$C$15:$L$20,3),"")))))))</f>
        <v/>
      </c>
      <c r="W139" s="195" t="str">
        <f t="shared" si="30"/>
        <v/>
      </c>
      <c r="X139" s="195" t="str">
        <f t="shared" si="31"/>
        <v/>
      </c>
      <c r="Y139" s="196" t="str">
        <f t="shared" si="32"/>
        <v/>
      </c>
      <c r="AA139" s="488">
        <f t="shared" si="33"/>
        <v>0</v>
      </c>
      <c r="AB139" s="488">
        <f t="shared" si="26"/>
        <v>0</v>
      </c>
      <c r="AC139" s="485"/>
      <c r="AE139" s="492" t="str">
        <f t="shared" si="23"/>
        <v/>
      </c>
      <c r="AF139" s="475">
        <f t="shared" si="28"/>
        <v>0</v>
      </c>
    </row>
    <row r="140" spans="1:32" ht="15" customHeight="1">
      <c r="A140" s="696"/>
      <c r="B140" s="698"/>
      <c r="C140" s="517"/>
      <c r="D140" s="520"/>
      <c r="E140" s="522"/>
      <c r="F140" s="521" t="str">
        <f t="shared" si="34"/>
        <v/>
      </c>
      <c r="G140" s="518"/>
      <c r="H140" s="190" t="str">
        <f>IF(AND(E140="",G140=""),"",SUM(F140:G145))</f>
        <v/>
      </c>
      <c r="I140" s="191"/>
      <c r="J140" s="514"/>
      <c r="K140" s="514"/>
      <c r="L140" s="197" t="str">
        <f>IF(J140="Duplex",VLOOKUP(M140,'Características dos Cabos M EX'!$C$12:$I$14,7),(IF(J140="Triplex",VLOOKUP(M140,'Características dos Cabos M EX'!$C$15:$J$20,8),(IF(J140="Quadruplex",VLOOKUP(M140,'Características dos Cabos M EX'!$C$21:$K$27,9),(IF(J140="13",VLOOKUP(M140,'Características dos Cabos M EX'!$C$15:$L$20,10),"")))))))</f>
        <v/>
      </c>
      <c r="M140" s="350" t="str">
        <f t="shared" si="24"/>
        <v/>
      </c>
      <c r="N140" s="519"/>
      <c r="O140" s="192" t="str">
        <f t="shared" si="29"/>
        <v/>
      </c>
      <c r="P140" s="192" t="str">
        <f>IF(O140="","",SUM($O$136:O140)+$Z$136)</f>
        <v/>
      </c>
      <c r="Q140" s="192" t="str">
        <f t="shared" si="25"/>
        <v/>
      </c>
      <c r="R140" s="193" t="str">
        <f>IF(J140="Duplex",VLOOKUP(M140,'Características dos Cabos MX CH'!$C$12:$I$14,5),(IF(J140="Triplex",VLOOKUP(M140,'Características dos Cabos MX CH'!$C$15:$J$20,5),(IF(J140="Quadruplex",VLOOKUP(M140,'Características dos Cabos MX CH'!$C$21:$K$27,5),(IF(J140="13",VLOOKUP(M140,'Características dos Cabos MX CH'!$C$15:$L$20,5),"")))))))</f>
        <v/>
      </c>
      <c r="S140" s="193" t="str">
        <f>IF(J140="Duplex",VLOOKUP(M140,'Características dos Cabos MX CH'!$C$12:$I$14,6),(IF(J140="Triplex",VLOOKUP(M140,'Características dos Cabos MX CH'!$C$15:$J$20,6),(IF(J140="Quadruplex",VLOOKUP(M140,'Características dos Cabos MX CH'!$C$21:$K$27,6),(IF(J140="13",VLOOKUP(M140,'Características dos Cabos MX CH'!$C$15:$L$20,6),"")))))))</f>
        <v/>
      </c>
      <c r="T140" s="194" t="str">
        <f t="shared" si="27"/>
        <v/>
      </c>
      <c r="U140" s="447" t="str">
        <f>IF(J140="Duplex",VLOOKUP(M140,'Características dos Cabos MX CH'!$C$12:$I$14,2),(IF(J140="Triplex",VLOOKUP(M140,'Características dos Cabos MX CH'!$C$15:$J$20,2),(IF(J140="Quadruplex",VLOOKUP(M140,'Características dos Cabos MX CH'!$C$21:$K$27,2),(IF(J140="13",VLOOKUP(M140,'Características dos Cabos MX CH'!$C$15:$L$20,2),"")))))))</f>
        <v/>
      </c>
      <c r="V140" s="193" t="str">
        <f>IF(J140="Duplex",VLOOKUP(M140,'Características dos Cabos MX CH'!$C$12:$I$14,3),(IF(J140="Triplex",VLOOKUP(M140,'Características dos Cabos MX CH'!$C$15:$J$20,3),(IF(J140="Quadruplex",VLOOKUP(M140,'Características dos Cabos MX CH'!$C$21:$K$27,3),(IF(J140="13",VLOOKUP(M140,'Características dos Cabos MX CH'!$C$15:$L$20,3),"")))))))</f>
        <v/>
      </c>
      <c r="W140" s="195" t="str">
        <f t="shared" si="30"/>
        <v/>
      </c>
      <c r="X140" s="195" t="str">
        <f t="shared" si="31"/>
        <v/>
      </c>
      <c r="Y140" s="196" t="str">
        <f t="shared" si="32"/>
        <v/>
      </c>
      <c r="AA140" s="488">
        <f t="shared" si="33"/>
        <v>0</v>
      </c>
      <c r="AB140" s="488">
        <f t="shared" si="26"/>
        <v>0</v>
      </c>
      <c r="AC140" s="485"/>
      <c r="AE140" s="492" t="str">
        <f t="shared" si="23"/>
        <v/>
      </c>
      <c r="AF140" s="475">
        <f t="shared" si="28"/>
        <v>0</v>
      </c>
    </row>
    <row r="141" spans="1:32" ht="15" customHeight="1">
      <c r="A141" s="696"/>
      <c r="B141" s="698"/>
      <c r="C141" s="517"/>
      <c r="D141" s="520"/>
      <c r="E141" s="522"/>
      <c r="F141" s="521" t="str">
        <f t="shared" si="34"/>
        <v/>
      </c>
      <c r="G141" s="518"/>
      <c r="H141" s="190" t="str">
        <f>IF(AND(E141="",G141=""),"",SUM(F141:G145))</f>
        <v/>
      </c>
      <c r="I141" s="191"/>
      <c r="J141" s="514"/>
      <c r="K141" s="514"/>
      <c r="L141" s="197" t="str">
        <f>IF(J141="Duplex",VLOOKUP(M141,'Características dos Cabos M EX'!$C$12:$I$14,7),(IF(J141="Triplex",VLOOKUP(M141,'Características dos Cabos M EX'!$C$15:$J$20,8),(IF(J141="Quadruplex",VLOOKUP(M141,'Características dos Cabos M EX'!$C$21:$K$27,9),(IF(J141="13",VLOOKUP(M141,'Características dos Cabos M EX'!$C$15:$L$20,10),"")))))))</f>
        <v/>
      </c>
      <c r="M141" s="350" t="str">
        <f t="shared" si="24"/>
        <v/>
      </c>
      <c r="N141" s="519"/>
      <c r="O141" s="192" t="str">
        <f t="shared" si="29"/>
        <v/>
      </c>
      <c r="P141" s="192" t="str">
        <f>IF(O141="","",SUM($O$136:O141)+$Z$136)</f>
        <v/>
      </c>
      <c r="Q141" s="192" t="str">
        <f t="shared" si="25"/>
        <v/>
      </c>
      <c r="R141" s="193" t="str">
        <f>IF(J141="Duplex",VLOOKUP(M141,'Características dos Cabos MX CH'!$C$12:$I$14,5),(IF(J141="Triplex",VLOOKUP(M141,'Características dos Cabos MX CH'!$C$15:$J$20,5),(IF(J141="Quadruplex",VLOOKUP(M141,'Características dos Cabos MX CH'!$C$21:$K$27,5),(IF(J141="13",VLOOKUP(M141,'Características dos Cabos MX CH'!$C$15:$L$20,5),"")))))))</f>
        <v/>
      </c>
      <c r="S141" s="193" t="str">
        <f>IF(J141="Duplex",VLOOKUP(M141,'Características dos Cabos MX CH'!$C$12:$I$14,6),(IF(J141="Triplex",VLOOKUP(M141,'Características dos Cabos MX CH'!$C$15:$J$20,6),(IF(J141="Quadruplex",VLOOKUP(M141,'Características dos Cabos MX CH'!$C$21:$K$27,6),(IF(J141="13",VLOOKUP(M141,'Características dos Cabos MX CH'!$C$15:$L$20,6),"")))))))</f>
        <v/>
      </c>
      <c r="T141" s="194" t="str">
        <f t="shared" si="27"/>
        <v/>
      </c>
      <c r="U141" s="447" t="str">
        <f>IF(J141="Duplex",VLOOKUP(M141,'Características dos Cabos MX CH'!$C$12:$I$14,2),(IF(J141="Triplex",VLOOKUP(M141,'Características dos Cabos MX CH'!$C$15:$J$20,2),(IF(J141="Quadruplex",VLOOKUP(M141,'Características dos Cabos MX CH'!$C$21:$K$27,2),(IF(J141="13",VLOOKUP(M141,'Características dos Cabos MX CH'!$C$15:$L$20,2),"")))))))</f>
        <v/>
      </c>
      <c r="V141" s="193" t="str">
        <f>IF(J141="Duplex",VLOOKUP(M141,'Características dos Cabos MX CH'!$C$12:$I$14,3),(IF(J141="Triplex",VLOOKUP(M141,'Características dos Cabos MX CH'!$C$15:$J$20,3),(IF(J141="Quadruplex",VLOOKUP(M141,'Características dos Cabos MX CH'!$C$21:$K$27,3),(IF(J141="13",VLOOKUP(M141,'Características dos Cabos MX CH'!$C$15:$L$20,3),"")))))))</f>
        <v/>
      </c>
      <c r="W141" s="195" t="str">
        <f t="shared" si="30"/>
        <v/>
      </c>
      <c r="X141" s="195" t="str">
        <f t="shared" si="31"/>
        <v/>
      </c>
      <c r="Y141" s="196" t="str">
        <f t="shared" si="32"/>
        <v/>
      </c>
      <c r="AA141" s="488">
        <f t="shared" si="33"/>
        <v>0</v>
      </c>
      <c r="AB141" s="488">
        <f t="shared" si="26"/>
        <v>0</v>
      </c>
      <c r="AC141" s="485"/>
      <c r="AE141" s="492" t="str">
        <f t="shared" si="23"/>
        <v/>
      </c>
      <c r="AF141" s="475">
        <f t="shared" si="28"/>
        <v>0</v>
      </c>
    </row>
    <row r="142" spans="1:32" ht="15" customHeight="1">
      <c r="A142" s="696"/>
      <c r="B142" s="698"/>
      <c r="C142" s="517"/>
      <c r="D142" s="520"/>
      <c r="E142" s="522"/>
      <c r="F142" s="521" t="str">
        <f t="shared" si="34"/>
        <v/>
      </c>
      <c r="G142" s="518"/>
      <c r="H142" s="190" t="str">
        <f>IF(AND(E142="",G142=""),"",SUM(F142:G145))</f>
        <v/>
      </c>
      <c r="I142" s="191"/>
      <c r="J142" s="514"/>
      <c r="K142" s="514"/>
      <c r="L142" s="197" t="str">
        <f>IF(J142="Duplex",VLOOKUP(M142,'Características dos Cabos M EX'!$C$12:$I$14,7),(IF(J142="Triplex",VLOOKUP(M142,'Características dos Cabos M EX'!$C$15:$J$20,8),(IF(J142="Quadruplex",VLOOKUP(M142,'Características dos Cabos M EX'!$C$21:$K$27,9),(IF(J142="13",VLOOKUP(M142,'Características dos Cabos M EX'!$C$15:$L$20,10),"")))))))</f>
        <v/>
      </c>
      <c r="M142" s="350" t="str">
        <f t="shared" si="24"/>
        <v/>
      </c>
      <c r="N142" s="519"/>
      <c r="O142" s="192" t="str">
        <f t="shared" si="29"/>
        <v/>
      </c>
      <c r="P142" s="192" t="str">
        <f>IF(O142="","",SUM($O$136:O142)+$Z$136)</f>
        <v/>
      </c>
      <c r="Q142" s="192" t="str">
        <f t="shared" si="25"/>
        <v/>
      </c>
      <c r="R142" s="193" t="str">
        <f>IF(J142="Duplex",VLOOKUP(M142,'Características dos Cabos MX CH'!$C$12:$I$14,5),(IF(J142="Triplex",VLOOKUP(M142,'Características dos Cabos MX CH'!$C$15:$J$20,5),(IF(J142="Quadruplex",VLOOKUP(M142,'Características dos Cabos MX CH'!$C$21:$K$27,5),(IF(J142="13",VLOOKUP(M142,'Características dos Cabos MX CH'!$C$15:$L$20,5),"")))))))</f>
        <v/>
      </c>
      <c r="S142" s="193" t="str">
        <f>IF(J142="Duplex",VLOOKUP(M142,'Características dos Cabos MX CH'!$C$12:$I$14,6),(IF(J142="Triplex",VLOOKUP(M142,'Características dos Cabos MX CH'!$C$15:$J$20,6),(IF(J142="Quadruplex",VLOOKUP(M142,'Características dos Cabos MX CH'!$C$21:$K$27,6),(IF(J142="13",VLOOKUP(M142,'Características dos Cabos MX CH'!$C$15:$L$20,6),"")))))))</f>
        <v/>
      </c>
      <c r="T142" s="194" t="str">
        <f t="shared" si="27"/>
        <v/>
      </c>
      <c r="U142" s="447" t="str">
        <f>IF(J142="Duplex",VLOOKUP(M142,'Características dos Cabos MX CH'!$C$12:$I$14,2),(IF(J142="Triplex",VLOOKUP(M142,'Características dos Cabos MX CH'!$C$15:$J$20,2),(IF(J142="Quadruplex",VLOOKUP(M142,'Características dos Cabos MX CH'!$C$21:$K$27,2),(IF(J142="13",VLOOKUP(M142,'Características dos Cabos MX CH'!$C$15:$L$20,2),"")))))))</f>
        <v/>
      </c>
      <c r="V142" s="193" t="str">
        <f>IF(J142="Duplex",VLOOKUP(M142,'Características dos Cabos MX CH'!$C$12:$I$14,3),(IF(J142="Triplex",VLOOKUP(M142,'Características dos Cabos MX CH'!$C$15:$J$20,3),(IF(J142="Quadruplex",VLOOKUP(M142,'Características dos Cabos MX CH'!$C$21:$K$27,3),(IF(J142="13",VLOOKUP(M142,'Características dos Cabos MX CH'!$C$15:$L$20,3),"")))))))</f>
        <v/>
      </c>
      <c r="W142" s="195" t="str">
        <f t="shared" si="30"/>
        <v/>
      </c>
      <c r="X142" s="195" t="str">
        <f t="shared" si="31"/>
        <v/>
      </c>
      <c r="Y142" s="196" t="str">
        <f t="shared" si="32"/>
        <v/>
      </c>
      <c r="AA142" s="488">
        <f t="shared" si="33"/>
        <v>0</v>
      </c>
      <c r="AB142" s="488">
        <f t="shared" si="26"/>
        <v>0</v>
      </c>
      <c r="AC142" s="485"/>
      <c r="AE142" s="492" t="str">
        <f t="shared" si="23"/>
        <v/>
      </c>
      <c r="AF142" s="475">
        <f t="shared" si="28"/>
        <v>0</v>
      </c>
    </row>
    <row r="143" spans="1:32" ht="15" customHeight="1">
      <c r="A143" s="696"/>
      <c r="B143" s="698"/>
      <c r="C143" s="517"/>
      <c r="D143" s="520"/>
      <c r="E143" s="522"/>
      <c r="F143" s="521" t="str">
        <f t="shared" si="34"/>
        <v/>
      </c>
      <c r="G143" s="518"/>
      <c r="H143" s="190" t="str">
        <f>IF(AND(E143="",G143=""),"",SUM(F143:G145))</f>
        <v/>
      </c>
      <c r="I143" s="191"/>
      <c r="J143" s="514"/>
      <c r="K143" s="514"/>
      <c r="L143" s="197" t="str">
        <f>IF(J143="Duplex",VLOOKUP(M143,'Características dos Cabos M EX'!$C$12:$I$14,7),(IF(J143="Triplex",VLOOKUP(M143,'Características dos Cabos M EX'!$C$15:$J$20,8),(IF(J143="Quadruplex",VLOOKUP(M143,'Características dos Cabos M EX'!$C$21:$K$27,9),(IF(J143="13",VLOOKUP(M143,'Características dos Cabos M EX'!$C$15:$L$20,10),"")))))))</f>
        <v/>
      </c>
      <c r="M143" s="350" t="str">
        <f t="shared" si="24"/>
        <v/>
      </c>
      <c r="N143" s="519"/>
      <c r="O143" s="192" t="str">
        <f t="shared" si="29"/>
        <v/>
      </c>
      <c r="P143" s="192" t="str">
        <f>IF(O143="","",SUM($O$136:O143)+$Z$136)</f>
        <v/>
      </c>
      <c r="Q143" s="192" t="str">
        <f t="shared" si="25"/>
        <v/>
      </c>
      <c r="R143" s="193" t="str">
        <f>IF(J143="Duplex",VLOOKUP(M143,'Características dos Cabos MX CH'!$C$12:$I$14,5),(IF(J143="Triplex",VLOOKUP(M143,'Características dos Cabos MX CH'!$C$15:$J$20,5),(IF(J143="Quadruplex",VLOOKUP(M143,'Características dos Cabos MX CH'!$C$21:$K$27,5),(IF(J143="13",VLOOKUP(M143,'Características dos Cabos MX CH'!$C$15:$L$20,5),"")))))))</f>
        <v/>
      </c>
      <c r="S143" s="193" t="str">
        <f>IF(J143="Duplex",VLOOKUP(M143,'Características dos Cabos MX CH'!$C$12:$I$14,6),(IF(J143="Triplex",VLOOKUP(M143,'Características dos Cabos MX CH'!$C$15:$J$20,6),(IF(J143="Quadruplex",VLOOKUP(M143,'Características dos Cabos MX CH'!$C$21:$K$27,6),(IF(J143="13",VLOOKUP(M143,'Características dos Cabos MX CH'!$C$15:$L$20,6),"")))))))</f>
        <v/>
      </c>
      <c r="T143" s="194" t="str">
        <f t="shared" si="27"/>
        <v/>
      </c>
      <c r="U143" s="447" t="str">
        <f>IF(J143="Duplex",VLOOKUP(M143,'Características dos Cabos MX CH'!$C$12:$I$14,2),(IF(J143="Triplex",VLOOKUP(M143,'Características dos Cabos MX CH'!$C$15:$J$20,2),(IF(J143="Quadruplex",VLOOKUP(M143,'Características dos Cabos MX CH'!$C$21:$K$27,2),(IF(J143="13",VLOOKUP(M143,'Características dos Cabos MX CH'!$C$15:$L$20,2),"")))))))</f>
        <v/>
      </c>
      <c r="V143" s="193" t="str">
        <f>IF(J143="Duplex",VLOOKUP(M143,'Características dos Cabos MX CH'!$C$12:$I$14,3),(IF(J143="Triplex",VLOOKUP(M143,'Características dos Cabos MX CH'!$C$15:$J$20,3),(IF(J143="Quadruplex",VLOOKUP(M143,'Características dos Cabos MX CH'!$C$21:$K$27,3),(IF(J143="13",VLOOKUP(M143,'Características dos Cabos MX CH'!$C$15:$L$20,3),"")))))))</f>
        <v/>
      </c>
      <c r="W143" s="195" t="str">
        <f t="shared" si="30"/>
        <v/>
      </c>
      <c r="X143" s="195" t="str">
        <f t="shared" si="31"/>
        <v/>
      </c>
      <c r="Y143" s="196" t="str">
        <f t="shared" si="32"/>
        <v/>
      </c>
      <c r="AA143" s="488">
        <f t="shared" si="33"/>
        <v>0</v>
      </c>
      <c r="AB143" s="488">
        <f t="shared" si="26"/>
        <v>0</v>
      </c>
      <c r="AC143" s="485"/>
      <c r="AE143" s="492" t="str">
        <f t="shared" si="23"/>
        <v/>
      </c>
      <c r="AF143" s="475">
        <f t="shared" si="28"/>
        <v>0</v>
      </c>
    </row>
    <row r="144" spans="1:32" ht="15" customHeight="1">
      <c r="A144" s="696"/>
      <c r="B144" s="698"/>
      <c r="C144" s="517"/>
      <c r="D144" s="520"/>
      <c r="E144" s="522"/>
      <c r="F144" s="521" t="str">
        <f t="shared" si="34"/>
        <v/>
      </c>
      <c r="G144" s="518"/>
      <c r="H144" s="190" t="str">
        <f>IF(AND(E144="",G144=""),"",SUM(F144:G145))</f>
        <v/>
      </c>
      <c r="I144" s="191"/>
      <c r="J144" s="514"/>
      <c r="K144" s="514"/>
      <c r="L144" s="197" t="str">
        <f>IF(J144="Duplex",VLOOKUP(M144,'Características dos Cabos M EX'!$C$12:$I$14,7),(IF(J144="Triplex",VLOOKUP(M144,'Características dos Cabos M EX'!$C$15:$J$20,8),(IF(J144="Quadruplex",VLOOKUP(M144,'Características dos Cabos M EX'!$C$21:$K$27,9),(IF(J144="13",VLOOKUP(M144,'Características dos Cabos M EX'!$C$15:$L$20,10),"")))))))</f>
        <v/>
      </c>
      <c r="M144" s="350" t="str">
        <f t="shared" si="24"/>
        <v/>
      </c>
      <c r="N144" s="519"/>
      <c r="O144" s="192" t="str">
        <f t="shared" si="29"/>
        <v/>
      </c>
      <c r="P144" s="192" t="str">
        <f>IF(O144="","",SUM($O$136:O144)+$Z$136)</f>
        <v/>
      </c>
      <c r="Q144" s="192" t="str">
        <f t="shared" si="25"/>
        <v/>
      </c>
      <c r="R144" s="193" t="str">
        <f>IF(J144="Duplex",VLOOKUP(M144,'Características dos Cabos MX CH'!$C$12:$I$14,5),(IF(J144="Triplex",VLOOKUP(M144,'Características dos Cabos MX CH'!$C$15:$J$20,5),(IF(J144="Quadruplex",VLOOKUP(M144,'Características dos Cabos MX CH'!$C$21:$K$27,5),(IF(J144="13",VLOOKUP(M144,'Características dos Cabos MX CH'!$C$15:$L$20,5),"")))))))</f>
        <v/>
      </c>
      <c r="S144" s="193" t="str">
        <f>IF(J144="Duplex",VLOOKUP(M144,'Características dos Cabos MX CH'!$C$12:$I$14,6),(IF(J144="Triplex",VLOOKUP(M144,'Características dos Cabos MX CH'!$C$15:$J$20,6),(IF(J144="Quadruplex",VLOOKUP(M144,'Características dos Cabos MX CH'!$C$21:$K$27,6),(IF(J144="13",VLOOKUP(M144,'Características dos Cabos MX CH'!$C$15:$L$20,6),"")))))))</f>
        <v/>
      </c>
      <c r="T144" s="194" t="str">
        <f t="shared" si="27"/>
        <v/>
      </c>
      <c r="U144" s="447" t="str">
        <f>IF(J144="Duplex",VLOOKUP(M144,'Características dos Cabos MX CH'!$C$12:$I$14,2),(IF(J144="Triplex",VLOOKUP(M144,'Características dos Cabos MX CH'!$C$15:$J$20,2),(IF(J144="Quadruplex",VLOOKUP(M144,'Características dos Cabos MX CH'!$C$21:$K$27,2),(IF(J144="13",VLOOKUP(M144,'Características dos Cabos MX CH'!$C$15:$L$20,2),"")))))))</f>
        <v/>
      </c>
      <c r="V144" s="193" t="str">
        <f>IF(J144="Duplex",VLOOKUP(M144,'Características dos Cabos MX CH'!$C$12:$I$14,3),(IF(J144="Triplex",VLOOKUP(M144,'Características dos Cabos MX CH'!$C$15:$J$20,3),(IF(J144="Quadruplex",VLOOKUP(M144,'Características dos Cabos MX CH'!$C$21:$K$27,3),(IF(J144="13",VLOOKUP(M144,'Características dos Cabos MX CH'!$C$15:$L$20,3),"")))))))</f>
        <v/>
      </c>
      <c r="W144" s="195" t="str">
        <f t="shared" si="30"/>
        <v/>
      </c>
      <c r="X144" s="195" t="str">
        <f t="shared" si="31"/>
        <v/>
      </c>
      <c r="Y144" s="196" t="str">
        <f t="shared" si="32"/>
        <v/>
      </c>
      <c r="AA144" s="488">
        <f t="shared" si="33"/>
        <v>0</v>
      </c>
      <c r="AB144" s="488">
        <f t="shared" si="26"/>
        <v>0</v>
      </c>
      <c r="AC144" s="485"/>
      <c r="AE144" s="492" t="str">
        <f t="shared" si="23"/>
        <v/>
      </c>
      <c r="AF144" s="475">
        <f t="shared" si="28"/>
        <v>0</v>
      </c>
    </row>
    <row r="145" spans="1:32" ht="15" customHeight="1" thickBot="1">
      <c r="A145" s="696"/>
      <c r="B145" s="699"/>
      <c r="C145" s="523"/>
      <c r="D145" s="524"/>
      <c r="E145" s="523"/>
      <c r="F145" s="526" t="str">
        <f t="shared" si="34"/>
        <v/>
      </c>
      <c r="G145" s="527"/>
      <c r="H145" s="200" t="str">
        <f>IF(AND(E145="",G145=""),"",SUM(F145:G145))</f>
        <v/>
      </c>
      <c r="I145" s="201"/>
      <c r="J145" s="528"/>
      <c r="K145" s="528"/>
      <c r="L145" s="202" t="str">
        <f>IF(J145="Duplex",VLOOKUP(M145,'Características dos Cabos M EX'!$C$12:$I$14,7),(IF(J145="Triplex",VLOOKUP(M145,'Características dos Cabos M EX'!$C$15:$J$20,8),(IF(J145="Quadruplex",VLOOKUP(M145,'Características dos Cabos M EX'!$C$21:$K$27,9),(IF(J145="13",VLOOKUP(M145,'Características dos Cabos M EX'!$C$15:$L$20,10),"")))))))</f>
        <v/>
      </c>
      <c r="M145" s="353" t="str">
        <f t="shared" si="24"/>
        <v/>
      </c>
      <c r="N145" s="529"/>
      <c r="O145" s="203" t="str">
        <f t="shared" si="29"/>
        <v/>
      </c>
      <c r="P145" s="203" t="str">
        <f>IF(O145="","",SUM($O$136:O145)+$Z$136)</f>
        <v/>
      </c>
      <c r="Q145" s="203" t="str">
        <f t="shared" si="25"/>
        <v/>
      </c>
      <c r="R145" s="204" t="str">
        <f>IF(J145="Duplex",VLOOKUP(M145,'Características dos Cabos MX CH'!$C$12:$I$14,5),(IF(J145="Triplex",VLOOKUP(M145,'Características dos Cabos MX CH'!$C$15:$J$20,5),(IF(J145="Quadruplex",VLOOKUP(M145,'Características dos Cabos MX CH'!$C$21:$K$27,5),(IF(J145="13",VLOOKUP(M145,'Características dos Cabos MX CH'!$C$15:$L$20,5),"")))))))</f>
        <v/>
      </c>
      <c r="S145" s="204" t="str">
        <f>IF(J145="Duplex",VLOOKUP(M145,'Características dos Cabos MX CH'!$C$12:$I$14,6),(IF(J145="Triplex",VLOOKUP(M145,'Características dos Cabos MX CH'!$C$15:$J$20,6),(IF(J145="Quadruplex",VLOOKUP(M145,'Características dos Cabos MX CH'!$C$21:$K$27,6),(IF(J145="13",VLOOKUP(M145,'Características dos Cabos MX CH'!$C$15:$L$20,6),"")))))))</f>
        <v/>
      </c>
      <c r="T145" s="205" t="str">
        <f t="shared" si="27"/>
        <v/>
      </c>
      <c r="U145" s="448" t="str">
        <f>IF(J145="Duplex",VLOOKUP(M145,'Características dos Cabos MX CH'!$C$12:$I$14,2),(IF(J145="Triplex",VLOOKUP(M145,'Características dos Cabos MX CH'!$C$15:$J$20,2),(IF(J145="Quadruplex",VLOOKUP(M145,'Características dos Cabos MX CH'!$C$21:$K$27,2),(IF(J145="13",VLOOKUP(M145,'Características dos Cabos MX CH'!$C$15:$L$20,2),"")))))))</f>
        <v/>
      </c>
      <c r="V145" s="204" t="str">
        <f>IF(J145="Duplex",VLOOKUP(M145,'Características dos Cabos MX CH'!$C$12:$I$14,3),(IF(J145="Triplex",VLOOKUP(M145,'Características dos Cabos MX CH'!$C$15:$J$20,3),(IF(J145="Quadruplex",VLOOKUP(M145,'Características dos Cabos MX CH'!$C$21:$K$27,3),(IF(J145="13",VLOOKUP(M145,'Características dos Cabos MX CH'!$C$15:$L$20,3),"")))))))</f>
        <v/>
      </c>
      <c r="W145" s="206" t="str">
        <f t="shared" si="30"/>
        <v/>
      </c>
      <c r="X145" s="206" t="str">
        <f t="shared" si="31"/>
        <v/>
      </c>
      <c r="Y145" s="207" t="str">
        <f t="shared" si="32"/>
        <v/>
      </c>
      <c r="AA145" s="488">
        <f t="shared" si="33"/>
        <v>0</v>
      </c>
      <c r="AB145" s="488">
        <f t="shared" si="26"/>
        <v>0</v>
      </c>
      <c r="AC145" s="485"/>
      <c r="AE145" s="492" t="str">
        <f t="shared" si="23"/>
        <v/>
      </c>
      <c r="AF145" s="475">
        <f t="shared" si="28"/>
        <v>0</v>
      </c>
    </row>
    <row r="146" spans="1:32" ht="15" customHeight="1" thickTop="1">
      <c r="A146" s="696"/>
      <c r="B146" s="700" t="str">
        <f>CONCATENATE("Ramal 11 - Derivando no ponto ",C146)</f>
        <v xml:space="preserve">Ramal 11 - Derivando no ponto </v>
      </c>
      <c r="C146" s="532"/>
      <c r="D146" s="536"/>
      <c r="E146" s="537"/>
      <c r="F146" s="538" t="str">
        <f t="shared" si="34"/>
        <v/>
      </c>
      <c r="G146" s="539"/>
      <c r="H146" s="209" t="str">
        <f>IF(AND(E146="",G146=""),"",SUM(F146:G155))</f>
        <v/>
      </c>
      <c r="I146" s="210"/>
      <c r="J146" s="535"/>
      <c r="K146" s="535"/>
      <c r="L146" s="211" t="str">
        <f>IF(J146="Duplex",VLOOKUP(M146,'Características dos Cabos M EX'!$C$12:$I$14,7),(IF(J146="Triplex",VLOOKUP(M146,'Características dos Cabos M EX'!$C$15:$J$20,8),(IF(J146="Quadruplex",VLOOKUP(M146,'Características dos Cabos M EX'!$C$21:$K$27,9),(IF(J146="13",VLOOKUP(M146,'Características dos Cabos M EX'!$C$15:$L$20,10),"")))))))</f>
        <v/>
      </c>
      <c r="M146" s="354" t="str">
        <f t="shared" si="24"/>
        <v/>
      </c>
      <c r="N146" s="540"/>
      <c r="O146" s="212" t="str">
        <f t="shared" si="29"/>
        <v/>
      </c>
      <c r="P146" s="212" t="str">
        <f>IF(O146="","",O146+VLOOKUP(C146,$D$21:$Q$145,13,FALSE))</f>
        <v/>
      </c>
      <c r="Q146" s="212" t="str">
        <f t="shared" si="25"/>
        <v/>
      </c>
      <c r="R146" s="213" t="str">
        <f>IF(J146="Duplex",VLOOKUP(M146,'Características dos Cabos MX CH'!$C$12:$I$14,5),(IF(J146="Triplex",VLOOKUP(M146,'Características dos Cabos MX CH'!$C$15:$J$20,5),(IF(J146="Quadruplex",VLOOKUP(M146,'Características dos Cabos MX CH'!$C$21:$K$27,5),(IF(J146="13",VLOOKUP(M146,'Características dos Cabos MX CH'!$C$15:$L$20,5),"")))))))</f>
        <v/>
      </c>
      <c r="S146" s="213" t="str">
        <f>IF(J146="Duplex",VLOOKUP(M146,'Características dos Cabos MX CH'!$C$12:$I$14,6),(IF(J146="Triplex",VLOOKUP(M146,'Características dos Cabos MX CH'!$C$15:$J$20,6),(IF(J146="Quadruplex",VLOOKUP(M146,'Características dos Cabos MX CH'!$C$21:$K$27,6),(IF(J146="13",VLOOKUP(M146,'Características dos Cabos MX CH'!$C$15:$L$20,6),"")))))))</f>
        <v/>
      </c>
      <c r="T146" s="214" t="str">
        <f t="shared" si="27"/>
        <v/>
      </c>
      <c r="U146" s="450" t="str">
        <f>IF(J146="Duplex",VLOOKUP(M146,'Características dos Cabos MX CH'!$C$12:$I$14,2),(IF(J146="Triplex",VLOOKUP(M146,'Características dos Cabos MX CH'!$C$15:$J$20,2),(IF(J146="Quadruplex",VLOOKUP(M146,'Características dos Cabos MX CH'!$C$21:$K$27,2),(IF(J146="13",VLOOKUP(M146,'Características dos Cabos MX CH'!$C$15:$L$20,2),"")))))))</f>
        <v/>
      </c>
      <c r="V146" s="213" t="str">
        <f>IF(J146="Duplex",VLOOKUP(M146,'Características dos Cabos MX CH'!$C$12:$I$14,3),(IF(J146="Triplex",VLOOKUP(M146,'Características dos Cabos MX CH'!$C$15:$J$20,3),(IF(J146="Quadruplex",VLOOKUP(M146,'Características dos Cabos MX CH'!$C$21:$K$27,3),(IF(J146="13",VLOOKUP(M146,'Características dos Cabos MX CH'!$C$15:$L$20,3),"")))))))</f>
        <v/>
      </c>
      <c r="W146" s="215" t="str">
        <f t="shared" si="30"/>
        <v/>
      </c>
      <c r="X146" s="215" t="str">
        <f t="shared" si="31"/>
        <v/>
      </c>
      <c r="Y146" s="216" t="str">
        <f t="shared" si="32"/>
        <v/>
      </c>
      <c r="Z146" s="463" t="str">
        <f>IF(O146="","",VLOOKUP(C146,$D$21:$P$145,13,FALSE))</f>
        <v/>
      </c>
      <c r="AA146" s="488">
        <f t="shared" si="33"/>
        <v>0</v>
      </c>
      <c r="AB146" s="488">
        <f t="shared" si="26"/>
        <v>0</v>
      </c>
      <c r="AC146" s="485"/>
      <c r="AE146" s="492" t="str">
        <f t="shared" si="23"/>
        <v/>
      </c>
      <c r="AF146" s="475">
        <f t="shared" si="28"/>
        <v>0</v>
      </c>
    </row>
    <row r="147" spans="1:32" ht="15" customHeight="1">
      <c r="A147" s="696"/>
      <c r="B147" s="698"/>
      <c r="C147" s="517"/>
      <c r="D147" s="520"/>
      <c r="E147" s="522"/>
      <c r="F147" s="521" t="str">
        <f t="shared" si="34"/>
        <v/>
      </c>
      <c r="G147" s="518"/>
      <c r="H147" s="190" t="str">
        <f>IF(AND(E147="",G147=""),"",SUM(F147:G155))</f>
        <v/>
      </c>
      <c r="I147" s="191"/>
      <c r="J147" s="514"/>
      <c r="K147" s="514"/>
      <c r="L147" s="197" t="str">
        <f>IF(J147="Duplex",VLOOKUP(M147,'Características dos Cabos M EX'!$C$12:$I$14,7),(IF(J147="Triplex",VLOOKUP(M147,'Características dos Cabos M EX'!$C$15:$J$20,8),(IF(J147="Quadruplex",VLOOKUP(M147,'Características dos Cabos M EX'!$C$21:$K$27,9),(IF(J147="13",VLOOKUP(M147,'Características dos Cabos M EX'!$C$15:$L$20,10),"")))))))</f>
        <v/>
      </c>
      <c r="M147" s="350" t="str">
        <f t="shared" si="24"/>
        <v/>
      </c>
      <c r="N147" s="519"/>
      <c r="O147" s="192" t="str">
        <f t="shared" si="29"/>
        <v/>
      </c>
      <c r="P147" s="192" t="str">
        <f>IF(O147="","",SUM($O$146:O147)+$Z$146)</f>
        <v/>
      </c>
      <c r="Q147" s="192" t="str">
        <f t="shared" si="25"/>
        <v/>
      </c>
      <c r="R147" s="193" t="str">
        <f>IF(J147="Duplex",VLOOKUP(M147,'Características dos Cabos MX CH'!$C$12:$I$14,5),(IF(J147="Triplex",VLOOKUP(M147,'Características dos Cabos MX CH'!$C$15:$J$20,5),(IF(J147="Quadruplex",VLOOKUP(M147,'Características dos Cabos MX CH'!$C$21:$K$27,5),(IF(J147="13",VLOOKUP(M147,'Características dos Cabos MX CH'!$C$15:$L$20,5),"")))))))</f>
        <v/>
      </c>
      <c r="S147" s="193" t="str">
        <f>IF(J147="Duplex",VLOOKUP(M147,'Características dos Cabos MX CH'!$C$12:$I$14,6),(IF(J147="Triplex",VLOOKUP(M147,'Características dos Cabos MX CH'!$C$15:$J$20,6),(IF(J147="Quadruplex",VLOOKUP(M147,'Características dos Cabos MX CH'!$C$21:$K$27,6),(IF(J147="13",VLOOKUP(M147,'Características dos Cabos MX CH'!$C$15:$L$20,6),"")))))))</f>
        <v/>
      </c>
      <c r="T147" s="194" t="str">
        <f t="shared" si="27"/>
        <v/>
      </c>
      <c r="U147" s="447" t="str">
        <f>IF(J147="Duplex",VLOOKUP(M147,'Características dos Cabos MX CH'!$C$12:$I$14,2),(IF(J147="Triplex",VLOOKUP(M147,'Características dos Cabos MX CH'!$C$15:$J$20,2),(IF(J147="Quadruplex",VLOOKUP(M147,'Características dos Cabos MX CH'!$C$21:$K$27,2),(IF(J147="13",VLOOKUP(M147,'Características dos Cabos MX CH'!$C$15:$L$20,2),"")))))))</f>
        <v/>
      </c>
      <c r="V147" s="193" t="str">
        <f>IF(J147="Duplex",VLOOKUP(M147,'Características dos Cabos MX CH'!$C$12:$I$14,3),(IF(J147="Triplex",VLOOKUP(M147,'Características dos Cabos MX CH'!$C$15:$J$20,3),(IF(J147="Quadruplex",VLOOKUP(M147,'Características dos Cabos MX CH'!$C$21:$K$27,3),(IF(J147="13",VLOOKUP(M147,'Características dos Cabos MX CH'!$C$15:$L$20,3),"")))))))</f>
        <v/>
      </c>
      <c r="W147" s="195" t="str">
        <f t="shared" si="30"/>
        <v/>
      </c>
      <c r="X147" s="195" t="str">
        <f t="shared" si="31"/>
        <v/>
      </c>
      <c r="Y147" s="196" t="str">
        <f t="shared" si="32"/>
        <v/>
      </c>
      <c r="AA147" s="488">
        <f t="shared" si="33"/>
        <v>0</v>
      </c>
      <c r="AB147" s="488">
        <f t="shared" si="26"/>
        <v>0</v>
      </c>
      <c r="AC147" s="485"/>
      <c r="AE147" s="492" t="str">
        <f t="shared" si="23"/>
        <v/>
      </c>
      <c r="AF147" s="475">
        <f t="shared" si="28"/>
        <v>0</v>
      </c>
    </row>
    <row r="148" spans="1:32" ht="15" customHeight="1">
      <c r="A148" s="696"/>
      <c r="B148" s="698"/>
      <c r="C148" s="517"/>
      <c r="D148" s="520"/>
      <c r="E148" s="522"/>
      <c r="F148" s="521" t="str">
        <f t="shared" si="34"/>
        <v/>
      </c>
      <c r="G148" s="518"/>
      <c r="H148" s="190" t="str">
        <f>IF(AND(E148="",G148=""),"",SUM(F148:G155))</f>
        <v/>
      </c>
      <c r="I148" s="191"/>
      <c r="J148" s="514"/>
      <c r="K148" s="514"/>
      <c r="L148" s="197" t="str">
        <f>IF(J148="Duplex",VLOOKUP(M148,'Características dos Cabos M EX'!$C$12:$I$14,7),(IF(J148="Triplex",VLOOKUP(M148,'Características dos Cabos M EX'!$C$15:$J$20,8),(IF(J148="Quadruplex",VLOOKUP(M148,'Características dos Cabos M EX'!$C$21:$K$27,9),(IF(J148="13",VLOOKUP(M148,'Características dos Cabos M EX'!$C$15:$L$20,10),"")))))))</f>
        <v/>
      </c>
      <c r="M148" s="350" t="str">
        <f t="shared" si="24"/>
        <v/>
      </c>
      <c r="N148" s="519"/>
      <c r="O148" s="192" t="str">
        <f t="shared" si="29"/>
        <v/>
      </c>
      <c r="P148" s="192" t="str">
        <f>IF(O148="","",SUM($O$146:O148)+$Z$146)</f>
        <v/>
      </c>
      <c r="Q148" s="192" t="str">
        <f t="shared" si="25"/>
        <v/>
      </c>
      <c r="R148" s="193" t="str">
        <f>IF(J148="Duplex",VLOOKUP(M148,'Características dos Cabos MX CH'!$C$12:$I$14,5),(IF(J148="Triplex",VLOOKUP(M148,'Características dos Cabos MX CH'!$C$15:$J$20,5),(IF(J148="Quadruplex",VLOOKUP(M148,'Características dos Cabos MX CH'!$C$21:$K$27,5),(IF(J148="13",VLOOKUP(M148,'Características dos Cabos MX CH'!$C$15:$L$20,5),"")))))))</f>
        <v/>
      </c>
      <c r="S148" s="193" t="str">
        <f>IF(J148="Duplex",VLOOKUP(M148,'Características dos Cabos MX CH'!$C$12:$I$14,6),(IF(J148="Triplex",VLOOKUP(M148,'Características dos Cabos MX CH'!$C$15:$J$20,6),(IF(J148="Quadruplex",VLOOKUP(M148,'Características dos Cabos MX CH'!$C$21:$K$27,6),(IF(J148="13",VLOOKUP(M148,'Características dos Cabos MX CH'!$C$15:$L$20,6),"")))))))</f>
        <v/>
      </c>
      <c r="T148" s="194" t="str">
        <f t="shared" si="27"/>
        <v/>
      </c>
      <c r="U148" s="447" t="str">
        <f>IF(J148="Duplex",VLOOKUP(M148,'Características dos Cabos MX CH'!$C$12:$I$14,2),(IF(J148="Triplex",VLOOKUP(M148,'Características dos Cabos MX CH'!$C$15:$J$20,2),(IF(J148="Quadruplex",VLOOKUP(M148,'Características dos Cabos MX CH'!$C$21:$K$27,2),(IF(J148="13",VLOOKUP(M148,'Características dos Cabos MX CH'!$C$15:$L$20,2),"")))))))</f>
        <v/>
      </c>
      <c r="V148" s="193" t="str">
        <f>IF(J148="Duplex",VLOOKUP(M148,'Características dos Cabos MX CH'!$C$12:$I$14,3),(IF(J148="Triplex",VLOOKUP(M148,'Características dos Cabos MX CH'!$C$15:$J$20,3),(IF(J148="Quadruplex",VLOOKUP(M148,'Características dos Cabos MX CH'!$C$21:$K$27,3),(IF(J148="13",VLOOKUP(M148,'Características dos Cabos MX CH'!$C$15:$L$20,3),"")))))))</f>
        <v/>
      </c>
      <c r="W148" s="195" t="str">
        <f t="shared" si="30"/>
        <v/>
      </c>
      <c r="X148" s="195" t="str">
        <f t="shared" si="31"/>
        <v/>
      </c>
      <c r="Y148" s="196" t="str">
        <f t="shared" si="32"/>
        <v/>
      </c>
      <c r="AA148" s="488">
        <f t="shared" si="33"/>
        <v>0</v>
      </c>
      <c r="AB148" s="488">
        <f t="shared" si="26"/>
        <v>0</v>
      </c>
      <c r="AC148" s="485"/>
      <c r="AE148" s="492" t="str">
        <f t="shared" si="23"/>
        <v/>
      </c>
      <c r="AF148" s="475">
        <f t="shared" si="28"/>
        <v>0</v>
      </c>
    </row>
    <row r="149" spans="1:32" ht="15" customHeight="1">
      <c r="A149" s="696"/>
      <c r="B149" s="698"/>
      <c r="C149" s="517"/>
      <c r="D149" s="520"/>
      <c r="E149" s="522"/>
      <c r="F149" s="521" t="str">
        <f t="shared" si="34"/>
        <v/>
      </c>
      <c r="G149" s="518"/>
      <c r="H149" s="190" t="str">
        <f>IF(AND(E149="",G149=""),"",SUM(F149:G155))</f>
        <v/>
      </c>
      <c r="I149" s="191"/>
      <c r="J149" s="514"/>
      <c r="K149" s="514"/>
      <c r="L149" s="197" t="str">
        <f>IF(J149="Duplex",VLOOKUP(M149,'Características dos Cabos M EX'!$C$12:$I$14,7),(IF(J149="Triplex",VLOOKUP(M149,'Características dos Cabos M EX'!$C$15:$J$20,8),(IF(J149="Quadruplex",VLOOKUP(M149,'Características dos Cabos M EX'!$C$21:$K$27,9),(IF(J149="13",VLOOKUP(M149,'Características dos Cabos M EX'!$C$15:$L$20,10),"")))))))</f>
        <v/>
      </c>
      <c r="M149" s="350" t="str">
        <f t="shared" si="24"/>
        <v/>
      </c>
      <c r="N149" s="519"/>
      <c r="O149" s="192" t="str">
        <f t="shared" si="29"/>
        <v/>
      </c>
      <c r="P149" s="192" t="str">
        <f>IF(O149="","",SUM($O$146:O149)+$Z$146)</f>
        <v/>
      </c>
      <c r="Q149" s="192" t="str">
        <f t="shared" si="25"/>
        <v/>
      </c>
      <c r="R149" s="193" t="str">
        <f>IF(J149="Duplex",VLOOKUP(M149,'Características dos Cabos MX CH'!$C$12:$I$14,5),(IF(J149="Triplex",VLOOKUP(M149,'Características dos Cabos MX CH'!$C$15:$J$20,5),(IF(J149="Quadruplex",VLOOKUP(M149,'Características dos Cabos MX CH'!$C$21:$K$27,5),(IF(J149="13",VLOOKUP(M149,'Características dos Cabos MX CH'!$C$15:$L$20,5),"")))))))</f>
        <v/>
      </c>
      <c r="S149" s="193" t="str">
        <f>IF(J149="Duplex",VLOOKUP(M149,'Características dos Cabos MX CH'!$C$12:$I$14,6),(IF(J149="Triplex",VLOOKUP(M149,'Características dos Cabos MX CH'!$C$15:$J$20,6),(IF(J149="Quadruplex",VLOOKUP(M149,'Características dos Cabos MX CH'!$C$21:$K$27,6),(IF(J149="13",VLOOKUP(M149,'Características dos Cabos MX CH'!$C$15:$L$20,6),"")))))))</f>
        <v/>
      </c>
      <c r="T149" s="194" t="str">
        <f t="shared" si="27"/>
        <v/>
      </c>
      <c r="U149" s="447" t="str">
        <f>IF(J149="Duplex",VLOOKUP(M149,'Características dos Cabos MX CH'!$C$12:$I$14,2),(IF(J149="Triplex",VLOOKUP(M149,'Características dos Cabos MX CH'!$C$15:$J$20,2),(IF(J149="Quadruplex",VLOOKUP(M149,'Características dos Cabos MX CH'!$C$21:$K$27,2),(IF(J149="13",VLOOKUP(M149,'Características dos Cabos MX CH'!$C$15:$L$20,2),"")))))))</f>
        <v/>
      </c>
      <c r="V149" s="193" t="str">
        <f>IF(J149="Duplex",VLOOKUP(M149,'Características dos Cabos MX CH'!$C$12:$I$14,3),(IF(J149="Triplex",VLOOKUP(M149,'Características dos Cabos MX CH'!$C$15:$J$20,3),(IF(J149="Quadruplex",VLOOKUP(M149,'Características dos Cabos MX CH'!$C$21:$K$27,3),(IF(J149="13",VLOOKUP(M149,'Características dos Cabos MX CH'!$C$15:$L$20,3),"")))))))</f>
        <v/>
      </c>
      <c r="W149" s="195" t="str">
        <f t="shared" si="30"/>
        <v/>
      </c>
      <c r="X149" s="195" t="str">
        <f t="shared" si="31"/>
        <v/>
      </c>
      <c r="Y149" s="196" t="str">
        <f t="shared" si="32"/>
        <v/>
      </c>
      <c r="AA149" s="488">
        <f t="shared" si="33"/>
        <v>0</v>
      </c>
      <c r="AB149" s="488">
        <f t="shared" si="26"/>
        <v>0</v>
      </c>
      <c r="AC149" s="485"/>
      <c r="AE149" s="492" t="str">
        <f t="shared" si="35" ref="AE149:AE195">IF(OR(E149="",$G$11=""),"",IF($G$11&gt;0,E149*$G$11*($J$11/100+1)^($J$15-1),E149*$E$11*($J$11/100+1)^($J$15-1)))</f>
        <v/>
      </c>
      <c r="AF149" s="475">
        <f t="shared" si="28"/>
        <v>0</v>
      </c>
    </row>
    <row r="150" spans="1:32" ht="15" customHeight="1">
      <c r="A150" s="696"/>
      <c r="B150" s="698"/>
      <c r="C150" s="517"/>
      <c r="D150" s="520"/>
      <c r="E150" s="522"/>
      <c r="F150" s="521" t="str">
        <f t="shared" si="34"/>
        <v/>
      </c>
      <c r="G150" s="518"/>
      <c r="H150" s="190" t="str">
        <f>IF(AND(E150="",G150=""),"",SUM(F150:G155))</f>
        <v/>
      </c>
      <c r="I150" s="191"/>
      <c r="J150" s="514"/>
      <c r="K150" s="514"/>
      <c r="L150" s="197" t="str">
        <f>IF(J150="Duplex",VLOOKUP(M150,'Características dos Cabos M EX'!$C$12:$I$14,7),(IF(J150="Triplex",VLOOKUP(M150,'Características dos Cabos M EX'!$C$15:$J$20,8),(IF(J150="Quadruplex",VLOOKUP(M150,'Características dos Cabos M EX'!$C$21:$K$27,9),(IF(J150="13",VLOOKUP(M150,'Características dos Cabos M EX'!$C$15:$L$20,10),"")))))))</f>
        <v/>
      </c>
      <c r="M150" s="350" t="str">
        <f t="shared" si="24"/>
        <v/>
      </c>
      <c r="N150" s="519"/>
      <c r="O150" s="192" t="str">
        <f t="shared" si="29"/>
        <v/>
      </c>
      <c r="P150" s="192" t="str">
        <f>IF(O150="","",SUM($O$146:O150)+$Z$146)</f>
        <v/>
      </c>
      <c r="Q150" s="192" t="str">
        <f t="shared" si="25"/>
        <v/>
      </c>
      <c r="R150" s="193" t="str">
        <f>IF(J150="Duplex",VLOOKUP(M150,'Características dos Cabos MX CH'!$C$12:$I$14,5),(IF(J150="Triplex",VLOOKUP(M150,'Características dos Cabos MX CH'!$C$15:$J$20,5),(IF(J150="Quadruplex",VLOOKUP(M150,'Características dos Cabos MX CH'!$C$21:$K$27,5),(IF(J150="13",VLOOKUP(M150,'Características dos Cabos MX CH'!$C$15:$L$20,5),"")))))))</f>
        <v/>
      </c>
      <c r="S150" s="193" t="str">
        <f>IF(J150="Duplex",VLOOKUP(M150,'Características dos Cabos MX CH'!$C$12:$I$14,6),(IF(J150="Triplex",VLOOKUP(M150,'Características dos Cabos MX CH'!$C$15:$J$20,6),(IF(J150="Quadruplex",VLOOKUP(M150,'Características dos Cabos MX CH'!$C$21:$K$27,6),(IF(J150="13",VLOOKUP(M150,'Características dos Cabos MX CH'!$C$15:$L$20,6),"")))))))</f>
        <v/>
      </c>
      <c r="T150" s="194" t="str">
        <f t="shared" si="27"/>
        <v/>
      </c>
      <c r="U150" s="447" t="str">
        <f>IF(J150="Duplex",VLOOKUP(M150,'Características dos Cabos MX CH'!$C$12:$I$14,2),(IF(J150="Triplex",VLOOKUP(M150,'Características dos Cabos MX CH'!$C$15:$J$20,2),(IF(J150="Quadruplex",VLOOKUP(M150,'Características dos Cabos MX CH'!$C$21:$K$27,2),(IF(J150="13",VLOOKUP(M150,'Características dos Cabos MX CH'!$C$15:$L$20,2),"")))))))</f>
        <v/>
      </c>
      <c r="V150" s="193" t="str">
        <f>IF(J150="Duplex",VLOOKUP(M150,'Características dos Cabos MX CH'!$C$12:$I$14,3),(IF(J150="Triplex",VLOOKUP(M150,'Características dos Cabos MX CH'!$C$15:$J$20,3),(IF(J150="Quadruplex",VLOOKUP(M150,'Características dos Cabos MX CH'!$C$21:$K$27,3),(IF(J150="13",VLOOKUP(M150,'Características dos Cabos MX CH'!$C$15:$L$20,3),"")))))))</f>
        <v/>
      </c>
      <c r="W150" s="195" t="str">
        <f t="shared" si="30"/>
        <v/>
      </c>
      <c r="X150" s="195" t="str">
        <f t="shared" si="31"/>
        <v/>
      </c>
      <c r="Y150" s="196" t="str">
        <f t="shared" si="32"/>
        <v/>
      </c>
      <c r="AA150" s="488">
        <f t="shared" si="33"/>
        <v>0</v>
      </c>
      <c r="AB150" s="488">
        <f t="shared" si="26"/>
        <v>0</v>
      </c>
      <c r="AC150" s="485"/>
      <c r="AE150" s="492" t="str">
        <f t="shared" si="35"/>
        <v/>
      </c>
      <c r="AF150" s="475">
        <f t="shared" si="28"/>
        <v>0</v>
      </c>
    </row>
    <row r="151" spans="1:32" ht="15" customHeight="1">
      <c r="A151" s="696"/>
      <c r="B151" s="698"/>
      <c r="C151" s="517"/>
      <c r="D151" s="520"/>
      <c r="E151" s="522"/>
      <c r="F151" s="521" t="str">
        <f t="shared" si="34"/>
        <v/>
      </c>
      <c r="G151" s="518"/>
      <c r="H151" s="190" t="str">
        <f>IF(AND(E151="",G151=""),"",SUM(F151:G155))</f>
        <v/>
      </c>
      <c r="I151" s="191"/>
      <c r="J151" s="514"/>
      <c r="K151" s="514"/>
      <c r="L151" s="197" t="str">
        <f>IF(J151="Duplex",VLOOKUP(M151,'Características dos Cabos M EX'!$C$12:$I$14,7),(IF(J151="Triplex",VLOOKUP(M151,'Características dos Cabos M EX'!$C$15:$J$20,8),(IF(J151="Quadruplex",VLOOKUP(M151,'Características dos Cabos M EX'!$C$21:$K$27,9),(IF(J151="13",VLOOKUP(M151,'Características dos Cabos M EX'!$C$15:$L$20,10),"")))))))</f>
        <v/>
      </c>
      <c r="M151" s="350" t="str">
        <f t="shared" si="36" ref="M151:M195">IF(K151=10,"a",IF(K151=16,"b",IF(K151=25,"c",IF(K151=35,"d",IF(K151=50,"e",(IF(K151=70,"f",(IF(K151=120,"g","")))))))))</f>
        <v/>
      </c>
      <c r="N151" s="519"/>
      <c r="O151" s="192" t="str">
        <f t="shared" si="29"/>
        <v/>
      </c>
      <c r="P151" s="192" t="str">
        <f>IF(O151="","",SUM($O$146:O151)+$Z$146)</f>
        <v/>
      </c>
      <c r="Q151" s="192" t="str">
        <f t="shared" si="37" ref="Q151:Q195">IF(H151="","",IF(J151="Quadruplex",H151*1000/($D$13*SQRT(3)),IF(J151="Triplex",H151*1000*SQRT(3)/($D$13*2),IF(J151="Duplex",H151*1000*SQRT(3)/$D$13,IF(J151="13",H151*1000/$D$15,IF(J151="12",H151*1000*2/$D$15,"erro"))))))</f>
        <v/>
      </c>
      <c r="R151" s="193" t="str">
        <f>IF(J151="Duplex",VLOOKUP(M151,'Características dos Cabos MX CH'!$C$12:$I$14,5),(IF(J151="Triplex",VLOOKUP(M151,'Características dos Cabos MX CH'!$C$15:$J$20,5),(IF(J151="Quadruplex",VLOOKUP(M151,'Características dos Cabos MX CH'!$C$21:$K$27,5),(IF(J151="13",VLOOKUP(M151,'Características dos Cabos MX CH'!$C$15:$L$20,5),"")))))))</f>
        <v/>
      </c>
      <c r="S151" s="193" t="str">
        <f>IF(J151="Duplex",VLOOKUP(M151,'Características dos Cabos MX CH'!$C$12:$I$14,6),(IF(J151="Triplex",VLOOKUP(M151,'Características dos Cabos MX CH'!$C$15:$J$20,6),(IF(J151="Quadruplex",VLOOKUP(M151,'Características dos Cabos MX CH'!$C$21:$K$27,6),(IF(J151="13",VLOOKUP(M151,'Características dos Cabos MX CH'!$C$15:$L$20,6),"")))))))</f>
        <v/>
      </c>
      <c r="T151" s="194" t="str">
        <f t="shared" si="27"/>
        <v/>
      </c>
      <c r="U151" s="447" t="str">
        <f>IF(J151="Duplex",VLOOKUP(M151,'Características dos Cabos MX CH'!$C$12:$I$14,2),(IF(J151="Triplex",VLOOKUP(M151,'Características dos Cabos MX CH'!$C$15:$J$20,2),(IF(J151="Quadruplex",VLOOKUP(M151,'Características dos Cabos MX CH'!$C$21:$K$27,2),(IF(J151="13",VLOOKUP(M151,'Características dos Cabos MX CH'!$C$15:$L$20,2),"")))))))</f>
        <v/>
      </c>
      <c r="V151" s="193" t="str">
        <f>IF(J151="Duplex",VLOOKUP(M151,'Características dos Cabos MX CH'!$C$12:$I$14,3),(IF(J151="Triplex",VLOOKUP(M151,'Características dos Cabos MX CH'!$C$15:$J$20,3),(IF(J151="Quadruplex",VLOOKUP(M151,'Características dos Cabos MX CH'!$C$21:$K$27,3),(IF(J151="13",VLOOKUP(M151,'Características dos Cabos MX CH'!$C$15:$L$20,3),"")))))))</f>
        <v/>
      </c>
      <c r="W151" s="195" t="str">
        <f t="shared" si="30"/>
        <v/>
      </c>
      <c r="X151" s="195" t="str">
        <f t="shared" si="31"/>
        <v/>
      </c>
      <c r="Y151" s="196" t="str">
        <f t="shared" si="32"/>
        <v/>
      </c>
      <c r="AA151" s="488">
        <f t="shared" si="33"/>
        <v>0</v>
      </c>
      <c r="AB151" s="488">
        <f t="shared" si="38" ref="AB151:AB195">K151</f>
        <v>0</v>
      </c>
      <c r="AC151" s="485"/>
      <c r="AE151" s="492" t="str">
        <f t="shared" si="35"/>
        <v/>
      </c>
      <c r="AF151" s="475">
        <f t="shared" si="28"/>
        <v>0</v>
      </c>
    </row>
    <row r="152" spans="1:32" ht="15" customHeight="1">
      <c r="A152" s="696"/>
      <c r="B152" s="698"/>
      <c r="C152" s="517"/>
      <c r="D152" s="520"/>
      <c r="E152" s="522"/>
      <c r="F152" s="521" t="str">
        <f t="shared" si="34"/>
        <v/>
      </c>
      <c r="G152" s="518"/>
      <c r="H152" s="190" t="str">
        <f>IF(AND(E152="",G152=""),"",SUM(F152:G155))</f>
        <v/>
      </c>
      <c r="I152" s="191"/>
      <c r="J152" s="514"/>
      <c r="K152" s="514"/>
      <c r="L152" s="197" t="str">
        <f>IF(J152="Duplex",VLOOKUP(M152,'Características dos Cabos M EX'!$C$12:$I$14,7),(IF(J152="Triplex",VLOOKUP(M152,'Características dos Cabos M EX'!$C$15:$J$20,8),(IF(J152="Quadruplex",VLOOKUP(M152,'Características dos Cabos M EX'!$C$21:$K$27,9),(IF(J152="13",VLOOKUP(M152,'Características dos Cabos M EX'!$C$15:$L$20,10),"")))))))</f>
        <v/>
      </c>
      <c r="M152" s="350" t="str">
        <f t="shared" si="36"/>
        <v/>
      </c>
      <c r="N152" s="519"/>
      <c r="O152" s="192" t="str">
        <f t="shared" si="29"/>
        <v/>
      </c>
      <c r="P152" s="192" t="str">
        <f>IF(O152="","",SUM($O$146:O152)+$Z$146)</f>
        <v/>
      </c>
      <c r="Q152" s="192" t="str">
        <f t="shared" si="37"/>
        <v/>
      </c>
      <c r="R152" s="193" t="str">
        <f>IF(J152="Duplex",VLOOKUP(M152,'Características dos Cabos MX CH'!$C$12:$I$14,5),(IF(J152="Triplex",VLOOKUP(M152,'Características dos Cabos MX CH'!$C$15:$J$20,5),(IF(J152="Quadruplex",VLOOKUP(M152,'Características dos Cabos MX CH'!$C$21:$K$27,5),(IF(J152="13",VLOOKUP(M152,'Características dos Cabos MX CH'!$C$15:$L$20,5),"")))))))</f>
        <v/>
      </c>
      <c r="S152" s="193" t="str">
        <f>IF(J152="Duplex",VLOOKUP(M152,'Características dos Cabos MX CH'!$C$12:$I$14,6),(IF(J152="Triplex",VLOOKUP(M152,'Características dos Cabos MX CH'!$C$15:$J$20,6),(IF(J152="Quadruplex",VLOOKUP(M152,'Características dos Cabos MX CH'!$C$21:$K$27,6),(IF(J152="13",VLOOKUP(M152,'Características dos Cabos MX CH'!$C$15:$L$20,6),"")))))))</f>
        <v/>
      </c>
      <c r="T152" s="194" t="str">
        <f t="shared" si="27"/>
        <v/>
      </c>
      <c r="U152" s="447" t="str">
        <f>IF(J152="Duplex",VLOOKUP(M152,'Características dos Cabos MX CH'!$C$12:$I$14,2),(IF(J152="Triplex",VLOOKUP(M152,'Características dos Cabos MX CH'!$C$15:$J$20,2),(IF(J152="Quadruplex",VLOOKUP(M152,'Características dos Cabos MX CH'!$C$21:$K$27,2),(IF(J152="13",VLOOKUP(M152,'Características dos Cabos MX CH'!$C$15:$L$20,2),"")))))))</f>
        <v/>
      </c>
      <c r="V152" s="193" t="str">
        <f>IF(J152="Duplex",VLOOKUP(M152,'Características dos Cabos MX CH'!$C$12:$I$14,3),(IF(J152="Triplex",VLOOKUP(M152,'Características dos Cabos MX CH'!$C$15:$J$20,3),(IF(J152="Quadruplex",VLOOKUP(M152,'Características dos Cabos MX CH'!$C$21:$K$27,3),(IF(J152="13",VLOOKUP(M152,'Características dos Cabos MX CH'!$C$15:$L$20,3),"")))))))</f>
        <v/>
      </c>
      <c r="W152" s="195" t="str">
        <f t="shared" si="30"/>
        <v/>
      </c>
      <c r="X152" s="195" t="str">
        <f t="shared" si="31"/>
        <v/>
      </c>
      <c r="Y152" s="196" t="str">
        <f t="shared" si="32"/>
        <v/>
      </c>
      <c r="AA152" s="488">
        <f t="shared" si="33"/>
        <v>0</v>
      </c>
      <c r="AB152" s="488">
        <f t="shared" si="38"/>
        <v>0</v>
      </c>
      <c r="AC152" s="485"/>
      <c r="AE152" s="492" t="str">
        <f t="shared" si="35"/>
        <v/>
      </c>
      <c r="AF152" s="475">
        <f t="shared" si="28"/>
        <v>0</v>
      </c>
    </row>
    <row r="153" spans="1:32" ht="15" customHeight="1">
      <c r="A153" s="696"/>
      <c r="B153" s="698"/>
      <c r="C153" s="517"/>
      <c r="D153" s="520"/>
      <c r="E153" s="522"/>
      <c r="F153" s="521" t="str">
        <f t="shared" si="34"/>
        <v/>
      </c>
      <c r="G153" s="518"/>
      <c r="H153" s="190" t="str">
        <f>IF(AND(E153="",G153=""),"",SUM(F153:G155))</f>
        <v/>
      </c>
      <c r="I153" s="191"/>
      <c r="J153" s="514"/>
      <c r="K153" s="514"/>
      <c r="L153" s="197" t="str">
        <f>IF(J153="Duplex",VLOOKUP(M153,'Características dos Cabos M EX'!$C$12:$I$14,7),(IF(J153="Triplex",VLOOKUP(M153,'Características dos Cabos M EX'!$C$15:$J$20,8),(IF(J153="Quadruplex",VLOOKUP(M153,'Características dos Cabos M EX'!$C$21:$K$27,9),(IF(J153="13",VLOOKUP(M153,'Características dos Cabos M EX'!$C$15:$L$20,10),"")))))))</f>
        <v/>
      </c>
      <c r="M153" s="350" t="str">
        <f t="shared" si="36"/>
        <v/>
      </c>
      <c r="N153" s="519"/>
      <c r="O153" s="192" t="str">
        <f t="shared" si="29"/>
        <v/>
      </c>
      <c r="P153" s="192" t="str">
        <f>IF(O153="","",SUM($O$146:O153)+$Z$146)</f>
        <v/>
      </c>
      <c r="Q153" s="192" t="str">
        <f t="shared" si="37"/>
        <v/>
      </c>
      <c r="R153" s="193" t="str">
        <f>IF(J153="Duplex",VLOOKUP(M153,'Características dos Cabos MX CH'!$C$12:$I$14,5),(IF(J153="Triplex",VLOOKUP(M153,'Características dos Cabos MX CH'!$C$15:$J$20,5),(IF(J153="Quadruplex",VLOOKUP(M153,'Características dos Cabos MX CH'!$C$21:$K$27,5),(IF(J153="13",VLOOKUP(M153,'Características dos Cabos MX CH'!$C$15:$L$20,5),"")))))))</f>
        <v/>
      </c>
      <c r="S153" s="193" t="str">
        <f>IF(J153="Duplex",VLOOKUP(M153,'Características dos Cabos MX CH'!$C$12:$I$14,6),(IF(J153="Triplex",VLOOKUP(M153,'Características dos Cabos MX CH'!$C$15:$J$20,6),(IF(J153="Quadruplex",VLOOKUP(M153,'Características dos Cabos MX CH'!$C$21:$K$27,6),(IF(J153="13",VLOOKUP(M153,'Características dos Cabos MX CH'!$C$15:$L$20,6),"")))))))</f>
        <v/>
      </c>
      <c r="T153" s="194" t="str">
        <f t="shared" si="27"/>
        <v/>
      </c>
      <c r="U153" s="447" t="str">
        <f>IF(J153="Duplex",VLOOKUP(M153,'Características dos Cabos MX CH'!$C$12:$I$14,2),(IF(J153="Triplex",VLOOKUP(M153,'Características dos Cabos MX CH'!$C$15:$J$20,2),(IF(J153="Quadruplex",VLOOKUP(M153,'Características dos Cabos MX CH'!$C$21:$K$27,2),(IF(J153="13",VLOOKUP(M153,'Características dos Cabos MX CH'!$C$15:$L$20,2),"")))))))</f>
        <v/>
      </c>
      <c r="V153" s="193" t="str">
        <f>IF(J153="Duplex",VLOOKUP(M153,'Características dos Cabos MX CH'!$C$12:$I$14,3),(IF(J153="Triplex",VLOOKUP(M153,'Características dos Cabos MX CH'!$C$15:$J$20,3),(IF(J153="Quadruplex",VLOOKUP(M153,'Características dos Cabos MX CH'!$C$21:$K$27,3),(IF(J153="13",VLOOKUP(M153,'Características dos Cabos MX CH'!$C$15:$L$20,3),"")))))))</f>
        <v/>
      </c>
      <c r="W153" s="195" t="str">
        <f t="shared" si="30"/>
        <v/>
      </c>
      <c r="X153" s="195" t="str">
        <f t="shared" si="31"/>
        <v/>
      </c>
      <c r="Y153" s="196" t="str">
        <f t="shared" si="32"/>
        <v/>
      </c>
      <c r="AA153" s="488">
        <f t="shared" si="33"/>
        <v>0</v>
      </c>
      <c r="AB153" s="488">
        <f t="shared" si="38"/>
        <v>0</v>
      </c>
      <c r="AC153" s="485"/>
      <c r="AE153" s="492" t="str">
        <f t="shared" si="35"/>
        <v/>
      </c>
      <c r="AF153" s="475">
        <f t="shared" si="28"/>
        <v>0</v>
      </c>
    </row>
    <row r="154" spans="1:32" ht="15" customHeight="1">
      <c r="A154" s="696"/>
      <c r="B154" s="698"/>
      <c r="C154" s="517"/>
      <c r="D154" s="520"/>
      <c r="E154" s="522"/>
      <c r="F154" s="521" t="str">
        <f t="shared" si="34"/>
        <v/>
      </c>
      <c r="G154" s="518"/>
      <c r="H154" s="190" t="str">
        <f>IF(AND(E154="",G154=""),"",SUM(F154:G155))</f>
        <v/>
      </c>
      <c r="I154" s="191"/>
      <c r="J154" s="514"/>
      <c r="K154" s="514"/>
      <c r="L154" s="197" t="str">
        <f>IF(J154="Duplex",VLOOKUP(M154,'Características dos Cabos M EX'!$C$12:$I$14,7),(IF(J154="Triplex",VLOOKUP(M154,'Características dos Cabos M EX'!$C$15:$J$20,8),(IF(J154="Quadruplex",VLOOKUP(M154,'Características dos Cabos M EX'!$C$21:$K$27,9),(IF(J154="13",VLOOKUP(M154,'Características dos Cabos M EX'!$C$15:$L$20,10),"")))))))</f>
        <v/>
      </c>
      <c r="M154" s="350" t="str">
        <f t="shared" si="36"/>
        <v/>
      </c>
      <c r="N154" s="519"/>
      <c r="O154" s="192" t="str">
        <f t="shared" si="29"/>
        <v/>
      </c>
      <c r="P154" s="192" t="str">
        <f>IF(O154="","",SUM($O$146:O154)+$Z$146)</f>
        <v/>
      </c>
      <c r="Q154" s="192" t="str">
        <f t="shared" si="37"/>
        <v/>
      </c>
      <c r="R154" s="193" t="str">
        <f>IF(J154="Duplex",VLOOKUP(M154,'Características dos Cabos MX CH'!$C$12:$I$14,5),(IF(J154="Triplex",VLOOKUP(M154,'Características dos Cabos MX CH'!$C$15:$J$20,5),(IF(J154="Quadruplex",VLOOKUP(M154,'Características dos Cabos MX CH'!$C$21:$K$27,5),(IF(J154="13",VLOOKUP(M154,'Características dos Cabos MX CH'!$C$15:$L$20,5),"")))))))</f>
        <v/>
      </c>
      <c r="S154" s="193" t="str">
        <f>IF(J154="Duplex",VLOOKUP(M154,'Características dos Cabos MX CH'!$C$12:$I$14,6),(IF(J154="Triplex",VLOOKUP(M154,'Características dos Cabos MX CH'!$C$15:$J$20,6),(IF(J154="Quadruplex",VLOOKUP(M154,'Características dos Cabos MX CH'!$C$21:$K$27,6),(IF(J154="13",VLOOKUP(M154,'Características dos Cabos MX CH'!$C$15:$L$20,6),"")))))))</f>
        <v/>
      </c>
      <c r="T154" s="194" t="str">
        <f t="shared" si="27"/>
        <v/>
      </c>
      <c r="U154" s="447" t="str">
        <f>IF(J154="Duplex",VLOOKUP(M154,'Características dos Cabos MX CH'!$C$12:$I$14,2),(IF(J154="Triplex",VLOOKUP(M154,'Características dos Cabos MX CH'!$C$15:$J$20,2),(IF(J154="Quadruplex",VLOOKUP(M154,'Características dos Cabos MX CH'!$C$21:$K$27,2),(IF(J154="13",VLOOKUP(M154,'Características dos Cabos MX CH'!$C$15:$L$20,2),"")))))))</f>
        <v/>
      </c>
      <c r="V154" s="193" t="str">
        <f>IF(J154="Duplex",VLOOKUP(M154,'Características dos Cabos MX CH'!$C$12:$I$14,3),(IF(J154="Triplex",VLOOKUP(M154,'Características dos Cabos MX CH'!$C$15:$J$20,3),(IF(J154="Quadruplex",VLOOKUP(M154,'Características dos Cabos MX CH'!$C$21:$K$27,3),(IF(J154="13",VLOOKUP(M154,'Características dos Cabos MX CH'!$C$15:$L$20,3),"")))))))</f>
        <v/>
      </c>
      <c r="W154" s="195" t="str">
        <f t="shared" si="30"/>
        <v/>
      </c>
      <c r="X154" s="195" t="str">
        <f t="shared" si="31"/>
        <v/>
      </c>
      <c r="Y154" s="196" t="str">
        <f t="shared" si="32"/>
        <v/>
      </c>
      <c r="AA154" s="488">
        <f t="shared" si="33"/>
        <v>0</v>
      </c>
      <c r="AB154" s="488">
        <f t="shared" si="38"/>
        <v>0</v>
      </c>
      <c r="AC154" s="485"/>
      <c r="AE154" s="492" t="str">
        <f t="shared" si="35"/>
        <v/>
      </c>
      <c r="AF154" s="475">
        <f t="shared" si="28"/>
        <v>0</v>
      </c>
    </row>
    <row r="155" spans="1:32" ht="15" customHeight="1" thickBot="1">
      <c r="A155" s="696"/>
      <c r="B155" s="699"/>
      <c r="C155" s="523"/>
      <c r="D155" s="524"/>
      <c r="E155" s="523"/>
      <c r="F155" s="526" t="str">
        <f t="shared" si="34"/>
        <v/>
      </c>
      <c r="G155" s="527"/>
      <c r="H155" s="200" t="str">
        <f>IF(AND(E155="",G155=""),"",SUM(F155:G155))</f>
        <v/>
      </c>
      <c r="I155" s="201"/>
      <c r="J155" s="528"/>
      <c r="K155" s="528"/>
      <c r="L155" s="202" t="str">
        <f>IF(J155="Duplex",VLOOKUP(M155,'Características dos Cabos M EX'!$C$12:$I$14,7),(IF(J155="Triplex",VLOOKUP(M155,'Características dos Cabos M EX'!$C$15:$J$20,8),(IF(J155="Quadruplex",VLOOKUP(M155,'Características dos Cabos M EX'!$C$21:$K$27,9),(IF(J155="13",VLOOKUP(M155,'Características dos Cabos M EX'!$C$15:$L$20,10),"")))))))</f>
        <v/>
      </c>
      <c r="M155" s="353" t="str">
        <f t="shared" si="36"/>
        <v/>
      </c>
      <c r="N155" s="529"/>
      <c r="O155" s="203" t="str">
        <f t="shared" si="29"/>
        <v/>
      </c>
      <c r="P155" s="203" t="str">
        <f>IF(O155="","",SUM($O$146:O155)+$Z$146)</f>
        <v/>
      </c>
      <c r="Q155" s="203" t="str">
        <f t="shared" si="37"/>
        <v/>
      </c>
      <c r="R155" s="204" t="str">
        <f>IF(J155="Duplex",VLOOKUP(M155,'Características dos Cabos MX CH'!$C$12:$I$14,5),(IF(J155="Triplex",VLOOKUP(M155,'Características dos Cabos MX CH'!$C$15:$J$20,5),(IF(J155="Quadruplex",VLOOKUP(M155,'Características dos Cabos MX CH'!$C$21:$K$27,5),(IF(J155="13",VLOOKUP(M155,'Características dos Cabos MX CH'!$C$15:$L$20,5),"")))))))</f>
        <v/>
      </c>
      <c r="S155" s="204" t="str">
        <f>IF(J155="Duplex",VLOOKUP(M155,'Características dos Cabos MX CH'!$C$12:$I$14,6),(IF(J155="Triplex",VLOOKUP(M155,'Características dos Cabos MX CH'!$C$15:$J$20,6),(IF(J155="Quadruplex",VLOOKUP(M155,'Características dos Cabos MX CH'!$C$21:$K$27,6),(IF(J155="13",VLOOKUP(M155,'Características dos Cabos MX CH'!$C$15:$L$20,6),"")))))))</f>
        <v/>
      </c>
      <c r="T155" s="205" t="str">
        <f t="shared" si="27"/>
        <v/>
      </c>
      <c r="U155" s="448" t="str">
        <f>IF(J155="Duplex",VLOOKUP(M155,'Características dos Cabos MX CH'!$C$12:$I$14,2),(IF(J155="Triplex",VLOOKUP(M155,'Características dos Cabos MX CH'!$C$15:$J$20,2),(IF(J155="Quadruplex",VLOOKUP(M155,'Características dos Cabos MX CH'!$C$21:$K$27,2),(IF(J155="13",VLOOKUP(M155,'Características dos Cabos MX CH'!$C$15:$L$20,2),"")))))))</f>
        <v/>
      </c>
      <c r="V155" s="204" t="str">
        <f>IF(J155="Duplex",VLOOKUP(M155,'Características dos Cabos MX CH'!$C$12:$I$14,3),(IF(J155="Triplex",VLOOKUP(M155,'Características dos Cabos MX CH'!$C$15:$J$20,3),(IF(J155="Quadruplex",VLOOKUP(M155,'Características dos Cabos MX CH'!$C$21:$K$27,3),(IF(J155="13",VLOOKUP(M155,'Características dos Cabos MX CH'!$C$15:$L$20,3),"")))))))</f>
        <v/>
      </c>
      <c r="W155" s="206" t="str">
        <f t="shared" si="30"/>
        <v/>
      </c>
      <c r="X155" s="206" t="str">
        <f t="shared" si="31"/>
        <v/>
      </c>
      <c r="Y155" s="207" t="str">
        <f t="shared" si="32"/>
        <v/>
      </c>
      <c r="AA155" s="488">
        <f t="shared" si="33"/>
        <v>0</v>
      </c>
      <c r="AB155" s="488">
        <f t="shared" si="38"/>
        <v>0</v>
      </c>
      <c r="AC155" s="485"/>
      <c r="AE155" s="492" t="str">
        <f t="shared" si="35"/>
        <v/>
      </c>
      <c r="AF155" s="475">
        <f t="shared" si="28"/>
        <v>0</v>
      </c>
    </row>
    <row r="156" spans="1:32" ht="15" customHeight="1" thickTop="1">
      <c r="A156" s="696"/>
      <c r="B156" s="700" t="str">
        <f>CONCATENATE("Ramal 12 - Derivando no ponto ",C156)</f>
        <v xml:space="preserve">Ramal 12 - Derivando no ponto </v>
      </c>
      <c r="C156" s="532"/>
      <c r="D156" s="536"/>
      <c r="E156" s="537"/>
      <c r="F156" s="538" t="str">
        <f t="shared" si="34"/>
        <v/>
      </c>
      <c r="G156" s="539"/>
      <c r="H156" s="209" t="str">
        <f>IF(AND(E156="",G156=""),"",SUM(F156:G165))</f>
        <v/>
      </c>
      <c r="I156" s="210"/>
      <c r="J156" s="535"/>
      <c r="K156" s="535"/>
      <c r="L156" s="211" t="str">
        <f>IF(J156="Duplex",VLOOKUP(M156,'Características dos Cabos M EX'!$C$12:$I$14,7),(IF(J156="Triplex",VLOOKUP(M156,'Características dos Cabos M EX'!$C$15:$J$20,8),(IF(J156="Quadruplex",VLOOKUP(M156,'Características dos Cabos M EX'!$C$21:$K$27,9),(IF(J156="13",VLOOKUP(M156,'Características dos Cabos M EX'!$C$15:$L$20,10),"")))))))</f>
        <v/>
      </c>
      <c r="M156" s="354" t="str">
        <f t="shared" si="36"/>
        <v/>
      </c>
      <c r="N156" s="540"/>
      <c r="O156" s="212" t="str">
        <f t="shared" si="29"/>
        <v/>
      </c>
      <c r="P156" s="212" t="str">
        <f>IF(O156="","",O156+VLOOKUP(C156,$D$21:$Q$155,13,FALSE))</f>
        <v/>
      </c>
      <c r="Q156" s="212" t="str">
        <f t="shared" si="37"/>
        <v/>
      </c>
      <c r="R156" s="213" t="str">
        <f>IF(J156="Duplex",VLOOKUP(M156,'Características dos Cabos MX CH'!$C$12:$I$14,5),(IF(J156="Triplex",VLOOKUP(M156,'Características dos Cabos MX CH'!$C$15:$J$20,5),(IF(J156="Quadruplex",VLOOKUP(M156,'Características dos Cabos MX CH'!$C$21:$K$27,5),(IF(J156="13",VLOOKUP(M156,'Características dos Cabos MX CH'!$C$15:$L$20,5),"")))))))</f>
        <v/>
      </c>
      <c r="S156" s="213" t="str">
        <f>IF(J156="Duplex",VLOOKUP(M156,'Características dos Cabos MX CH'!$C$12:$I$14,6),(IF(J156="Triplex",VLOOKUP(M156,'Características dos Cabos MX CH'!$C$15:$J$20,6),(IF(J156="Quadruplex",VLOOKUP(M156,'Características dos Cabos MX CH'!$C$21:$K$27,6),(IF(J156="13",VLOOKUP(M156,'Características dos Cabos MX CH'!$C$15:$L$20,6),"")))))))</f>
        <v/>
      </c>
      <c r="T156" s="214" t="str">
        <f t="shared" si="27"/>
        <v/>
      </c>
      <c r="U156" s="450" t="str">
        <f>IF(J156="Duplex",VLOOKUP(M156,'Características dos Cabos MX CH'!$C$12:$I$14,2),(IF(J156="Triplex",VLOOKUP(M156,'Características dos Cabos MX CH'!$C$15:$J$20,2),(IF(J156="Quadruplex",VLOOKUP(M156,'Características dos Cabos MX CH'!$C$21:$K$27,2),(IF(J156="13",VLOOKUP(M156,'Características dos Cabos MX CH'!$C$15:$L$20,2),"")))))))</f>
        <v/>
      </c>
      <c r="V156" s="213" t="str">
        <f>IF(J156="Duplex",VLOOKUP(M156,'Características dos Cabos MX CH'!$C$12:$I$14,3),(IF(J156="Triplex",VLOOKUP(M156,'Características dos Cabos MX CH'!$C$15:$J$20,3),(IF(J156="Quadruplex",VLOOKUP(M156,'Características dos Cabos MX CH'!$C$21:$K$27,3),(IF(J156="13",VLOOKUP(M156,'Características dos Cabos MX CH'!$C$15:$L$20,3),"")))))))</f>
        <v/>
      </c>
      <c r="W156" s="215" t="str">
        <f t="shared" si="30"/>
        <v/>
      </c>
      <c r="X156" s="215" t="str">
        <f t="shared" si="31"/>
        <v/>
      </c>
      <c r="Y156" s="216" t="str">
        <f t="shared" si="32"/>
        <v/>
      </c>
      <c r="Z156" s="463" t="str">
        <f>IF(O156="","",VLOOKUP(C156,$D$21:$P$155,13,FALSE))</f>
        <v/>
      </c>
      <c r="AA156" s="488">
        <f t="shared" si="33"/>
        <v>0</v>
      </c>
      <c r="AB156" s="488">
        <f t="shared" si="38"/>
        <v>0</v>
      </c>
      <c r="AC156" s="485"/>
      <c r="AE156" s="492" t="str">
        <f t="shared" si="35"/>
        <v/>
      </c>
      <c r="AF156" s="475">
        <f t="shared" si="28"/>
        <v>0</v>
      </c>
    </row>
    <row r="157" spans="1:32" ht="15" customHeight="1">
      <c r="A157" s="696"/>
      <c r="B157" s="698"/>
      <c r="C157" s="517"/>
      <c r="D157" s="520"/>
      <c r="E157" s="522"/>
      <c r="F157" s="521" t="str">
        <f t="shared" si="34"/>
        <v/>
      </c>
      <c r="G157" s="518"/>
      <c r="H157" s="190" t="str">
        <f>IF(AND(E157="",G157=""),"",SUM(F157:G165))</f>
        <v/>
      </c>
      <c r="I157" s="191"/>
      <c r="J157" s="514"/>
      <c r="K157" s="514"/>
      <c r="L157" s="197" t="str">
        <f>IF(J157="Duplex",VLOOKUP(M157,'Características dos Cabos M EX'!$C$12:$I$14,7),(IF(J157="Triplex",VLOOKUP(M157,'Características dos Cabos M EX'!$C$15:$J$20,8),(IF(J157="Quadruplex",VLOOKUP(M157,'Características dos Cabos M EX'!$C$21:$K$27,9),(IF(J157="13",VLOOKUP(M157,'Características dos Cabos M EX'!$C$15:$L$20,10),"")))))))</f>
        <v/>
      </c>
      <c r="M157" s="350" t="str">
        <f t="shared" si="36"/>
        <v/>
      </c>
      <c r="N157" s="519"/>
      <c r="O157" s="192" t="str">
        <f t="shared" si="29"/>
        <v/>
      </c>
      <c r="P157" s="192" t="str">
        <f>IF(O157="","",SUM($O$156:O157)+$Z$156)</f>
        <v/>
      </c>
      <c r="Q157" s="192" t="str">
        <f t="shared" si="37"/>
        <v/>
      </c>
      <c r="R157" s="193" t="str">
        <f>IF(J157="Duplex",VLOOKUP(M157,'Características dos Cabos MX CH'!$C$12:$I$14,5),(IF(J157="Triplex",VLOOKUP(M157,'Características dos Cabos MX CH'!$C$15:$J$20,5),(IF(J157="Quadruplex",VLOOKUP(M157,'Características dos Cabos MX CH'!$C$21:$K$27,5),(IF(J157="13",VLOOKUP(M157,'Características dos Cabos MX CH'!$C$15:$L$20,5),"")))))))</f>
        <v/>
      </c>
      <c r="S157" s="193" t="str">
        <f>IF(J157="Duplex",VLOOKUP(M157,'Características dos Cabos MX CH'!$C$12:$I$14,6),(IF(J157="Triplex",VLOOKUP(M157,'Características dos Cabos MX CH'!$C$15:$J$20,6),(IF(J157="Quadruplex",VLOOKUP(M157,'Características dos Cabos MX CH'!$C$21:$K$27,6),(IF(J157="13",VLOOKUP(M157,'Características dos Cabos MX CH'!$C$15:$L$20,6),"")))))))</f>
        <v/>
      </c>
      <c r="T157" s="194" t="str">
        <f t="shared" si="27"/>
        <v/>
      </c>
      <c r="U157" s="447" t="str">
        <f>IF(J157="Duplex",VLOOKUP(M157,'Características dos Cabos MX CH'!$C$12:$I$14,2),(IF(J157="Triplex",VLOOKUP(M157,'Características dos Cabos MX CH'!$C$15:$J$20,2),(IF(J157="Quadruplex",VLOOKUP(M157,'Características dos Cabos MX CH'!$C$21:$K$27,2),(IF(J157="13",VLOOKUP(M157,'Características dos Cabos MX CH'!$C$15:$L$20,2),"")))))))</f>
        <v/>
      </c>
      <c r="V157" s="193" t="str">
        <f>IF(J157="Duplex",VLOOKUP(M157,'Características dos Cabos MX CH'!$C$12:$I$14,3),(IF(J157="Triplex",VLOOKUP(M157,'Características dos Cabos MX CH'!$C$15:$J$20,3),(IF(J157="Quadruplex",VLOOKUP(M157,'Características dos Cabos MX CH'!$C$21:$K$27,3),(IF(J157="13",VLOOKUP(M157,'Características dos Cabos MX CH'!$C$15:$L$20,3),"")))))))</f>
        <v/>
      </c>
      <c r="W157" s="195" t="str">
        <f t="shared" si="30"/>
        <v/>
      </c>
      <c r="X157" s="195" t="str">
        <f t="shared" si="31"/>
        <v/>
      </c>
      <c r="Y157" s="196" t="str">
        <f t="shared" si="32"/>
        <v/>
      </c>
      <c r="AA157" s="488">
        <f t="shared" si="33"/>
        <v>0</v>
      </c>
      <c r="AB157" s="488">
        <f t="shared" si="38"/>
        <v>0</v>
      </c>
      <c r="AC157" s="485"/>
      <c r="AE157" s="492" t="str">
        <f t="shared" si="35"/>
        <v/>
      </c>
      <c r="AF157" s="475">
        <f t="shared" si="28"/>
        <v>0</v>
      </c>
    </row>
    <row r="158" spans="1:32" ht="15" customHeight="1">
      <c r="A158" s="696"/>
      <c r="B158" s="698"/>
      <c r="C158" s="517"/>
      <c r="D158" s="520"/>
      <c r="E158" s="522"/>
      <c r="F158" s="521" t="str">
        <f t="shared" si="34"/>
        <v/>
      </c>
      <c r="G158" s="518"/>
      <c r="H158" s="190" t="str">
        <f>IF(AND(E158="",G158=""),"",SUM(F158:G165))</f>
        <v/>
      </c>
      <c r="I158" s="191"/>
      <c r="J158" s="514"/>
      <c r="K158" s="514"/>
      <c r="L158" s="197" t="str">
        <f>IF(J158="Duplex",VLOOKUP(M158,'Características dos Cabos M EX'!$C$12:$I$14,7),(IF(J158="Triplex",VLOOKUP(M158,'Características dos Cabos M EX'!$C$15:$J$20,8),(IF(J158="Quadruplex",VLOOKUP(M158,'Características dos Cabos M EX'!$C$21:$K$27,9),(IF(J158="13",VLOOKUP(M158,'Características dos Cabos M EX'!$C$15:$L$20,10),"")))))))</f>
        <v/>
      </c>
      <c r="M158" s="350" t="str">
        <f t="shared" si="36"/>
        <v/>
      </c>
      <c r="N158" s="519"/>
      <c r="O158" s="192" t="str">
        <f t="shared" si="29"/>
        <v/>
      </c>
      <c r="P158" s="192" t="str">
        <f>IF(O158="","",SUM($O$156:O158)+$Z$156)</f>
        <v/>
      </c>
      <c r="Q158" s="192" t="str">
        <f t="shared" si="37"/>
        <v/>
      </c>
      <c r="R158" s="193" t="str">
        <f>IF(J158="Duplex",VLOOKUP(M158,'Características dos Cabos MX CH'!$C$12:$I$14,5),(IF(J158="Triplex",VLOOKUP(M158,'Características dos Cabos MX CH'!$C$15:$J$20,5),(IF(J158="Quadruplex",VLOOKUP(M158,'Características dos Cabos MX CH'!$C$21:$K$27,5),(IF(J158="13",VLOOKUP(M158,'Características dos Cabos MX CH'!$C$15:$L$20,5),"")))))))</f>
        <v/>
      </c>
      <c r="S158" s="193" t="str">
        <f>IF(J158="Duplex",VLOOKUP(M158,'Características dos Cabos MX CH'!$C$12:$I$14,6),(IF(J158="Triplex",VLOOKUP(M158,'Características dos Cabos MX CH'!$C$15:$J$20,6),(IF(J158="Quadruplex",VLOOKUP(M158,'Características dos Cabos MX CH'!$C$21:$K$27,6),(IF(J158="13",VLOOKUP(M158,'Características dos Cabos MX CH'!$C$15:$L$20,6),"")))))))</f>
        <v/>
      </c>
      <c r="T158" s="194" t="str">
        <f t="shared" si="27"/>
        <v/>
      </c>
      <c r="U158" s="447" t="str">
        <f>IF(J158="Duplex",VLOOKUP(M158,'Características dos Cabos MX CH'!$C$12:$I$14,2),(IF(J158="Triplex",VLOOKUP(M158,'Características dos Cabos MX CH'!$C$15:$J$20,2),(IF(J158="Quadruplex",VLOOKUP(M158,'Características dos Cabos MX CH'!$C$21:$K$27,2),(IF(J158="13",VLOOKUP(M158,'Características dos Cabos MX CH'!$C$15:$L$20,2),"")))))))</f>
        <v/>
      </c>
      <c r="V158" s="193" t="str">
        <f>IF(J158="Duplex",VLOOKUP(M158,'Características dos Cabos MX CH'!$C$12:$I$14,3),(IF(J158="Triplex",VLOOKUP(M158,'Características dos Cabos MX CH'!$C$15:$J$20,3),(IF(J158="Quadruplex",VLOOKUP(M158,'Características dos Cabos MX CH'!$C$21:$K$27,3),(IF(J158="13",VLOOKUP(M158,'Características dos Cabos MX CH'!$C$15:$L$20,3),"")))))))</f>
        <v/>
      </c>
      <c r="W158" s="195" t="str">
        <f t="shared" si="30"/>
        <v/>
      </c>
      <c r="X158" s="195" t="str">
        <f t="shared" si="31"/>
        <v/>
      </c>
      <c r="Y158" s="196" t="str">
        <f t="shared" si="32"/>
        <v/>
      </c>
      <c r="AA158" s="488">
        <f t="shared" si="33"/>
        <v>0</v>
      </c>
      <c r="AB158" s="488">
        <f t="shared" si="38"/>
        <v>0</v>
      </c>
      <c r="AC158" s="485"/>
      <c r="AE158" s="492" t="str">
        <f t="shared" si="35"/>
        <v/>
      </c>
      <c r="AF158" s="475">
        <f t="shared" si="28"/>
        <v>0</v>
      </c>
    </row>
    <row r="159" spans="1:32" ht="15" customHeight="1">
      <c r="A159" s="696"/>
      <c r="B159" s="698"/>
      <c r="C159" s="517"/>
      <c r="D159" s="520"/>
      <c r="E159" s="522"/>
      <c r="F159" s="521" t="str">
        <f t="shared" si="34"/>
        <v/>
      </c>
      <c r="G159" s="518"/>
      <c r="H159" s="190" t="str">
        <f>IF(AND(E159="",G159=""),"",SUM(F159:G165))</f>
        <v/>
      </c>
      <c r="I159" s="191"/>
      <c r="J159" s="514"/>
      <c r="K159" s="514"/>
      <c r="L159" s="197" t="str">
        <f>IF(J159="Duplex",VLOOKUP(M159,'Características dos Cabos M EX'!$C$12:$I$14,7),(IF(J159="Triplex",VLOOKUP(M159,'Características dos Cabos M EX'!$C$15:$J$20,8),(IF(J159="Quadruplex",VLOOKUP(M159,'Características dos Cabos M EX'!$C$21:$K$27,9),(IF(J159="13",VLOOKUP(M159,'Características dos Cabos M EX'!$C$15:$L$20,10),"")))))))</f>
        <v/>
      </c>
      <c r="M159" s="350" t="str">
        <f t="shared" si="36"/>
        <v/>
      </c>
      <c r="N159" s="519"/>
      <c r="O159" s="192" t="str">
        <f t="shared" si="29"/>
        <v/>
      </c>
      <c r="P159" s="192" t="str">
        <f>IF(O159="","",SUM($O$156:O159)+$Z$156)</f>
        <v/>
      </c>
      <c r="Q159" s="192" t="str">
        <f t="shared" si="37"/>
        <v/>
      </c>
      <c r="R159" s="193" t="str">
        <f>IF(J159="Duplex",VLOOKUP(M159,'Características dos Cabos MX CH'!$C$12:$I$14,5),(IF(J159="Triplex",VLOOKUP(M159,'Características dos Cabos MX CH'!$C$15:$J$20,5),(IF(J159="Quadruplex",VLOOKUP(M159,'Características dos Cabos MX CH'!$C$21:$K$27,5),(IF(J159="13",VLOOKUP(M159,'Características dos Cabos MX CH'!$C$15:$L$20,5),"")))))))</f>
        <v/>
      </c>
      <c r="S159" s="193" t="str">
        <f>IF(J159="Duplex",VLOOKUP(M159,'Características dos Cabos MX CH'!$C$12:$I$14,6),(IF(J159="Triplex",VLOOKUP(M159,'Características dos Cabos MX CH'!$C$15:$J$20,6),(IF(J159="Quadruplex",VLOOKUP(M159,'Características dos Cabos MX CH'!$C$21:$K$27,6),(IF(J159="13",VLOOKUP(M159,'Características dos Cabos MX CH'!$C$15:$L$20,6),"")))))))</f>
        <v/>
      </c>
      <c r="T159" s="194" t="str">
        <f t="shared" si="27"/>
        <v/>
      </c>
      <c r="U159" s="447" t="str">
        <f>IF(J159="Duplex",VLOOKUP(M159,'Características dos Cabos MX CH'!$C$12:$I$14,2),(IF(J159="Triplex",VLOOKUP(M159,'Características dos Cabos MX CH'!$C$15:$J$20,2),(IF(J159="Quadruplex",VLOOKUP(M159,'Características dos Cabos MX CH'!$C$21:$K$27,2),(IF(J159="13",VLOOKUP(M159,'Características dos Cabos MX CH'!$C$15:$L$20,2),"")))))))</f>
        <v/>
      </c>
      <c r="V159" s="193" t="str">
        <f>IF(J159="Duplex",VLOOKUP(M159,'Características dos Cabos MX CH'!$C$12:$I$14,3),(IF(J159="Triplex",VLOOKUP(M159,'Características dos Cabos MX CH'!$C$15:$J$20,3),(IF(J159="Quadruplex",VLOOKUP(M159,'Características dos Cabos MX CH'!$C$21:$K$27,3),(IF(J159="13",VLOOKUP(M159,'Características dos Cabos MX CH'!$C$15:$L$20,3),"")))))))</f>
        <v/>
      </c>
      <c r="W159" s="195" t="str">
        <f t="shared" si="30"/>
        <v/>
      </c>
      <c r="X159" s="195" t="str">
        <f t="shared" si="31"/>
        <v/>
      </c>
      <c r="Y159" s="196" t="str">
        <f t="shared" si="32"/>
        <v/>
      </c>
      <c r="AA159" s="488">
        <f t="shared" si="33"/>
        <v>0</v>
      </c>
      <c r="AB159" s="488">
        <f t="shared" si="38"/>
        <v>0</v>
      </c>
      <c r="AC159" s="485"/>
      <c r="AE159" s="492" t="str">
        <f t="shared" si="35"/>
        <v/>
      </c>
      <c r="AF159" s="475">
        <f t="shared" si="28"/>
        <v>0</v>
      </c>
    </row>
    <row r="160" spans="1:32" ht="15" customHeight="1">
      <c r="A160" s="696"/>
      <c r="B160" s="698"/>
      <c r="C160" s="517"/>
      <c r="D160" s="520"/>
      <c r="E160" s="522"/>
      <c r="F160" s="521" t="str">
        <f t="shared" si="34"/>
        <v/>
      </c>
      <c r="G160" s="518"/>
      <c r="H160" s="190" t="str">
        <f>IF(AND(E160="",G160=""),"",SUM(F160:G165))</f>
        <v/>
      </c>
      <c r="I160" s="191"/>
      <c r="J160" s="514"/>
      <c r="K160" s="514"/>
      <c r="L160" s="197" t="str">
        <f>IF(J160="Duplex",VLOOKUP(M160,'Características dos Cabos M EX'!$C$12:$I$14,7),(IF(J160="Triplex",VLOOKUP(M160,'Características dos Cabos M EX'!$C$15:$J$20,8),(IF(J160="Quadruplex",VLOOKUP(M160,'Características dos Cabos M EX'!$C$21:$K$27,9),(IF(J160="13",VLOOKUP(M160,'Características dos Cabos M EX'!$C$15:$L$20,10),"")))))))</f>
        <v/>
      </c>
      <c r="M160" s="350" t="str">
        <f t="shared" si="36"/>
        <v/>
      </c>
      <c r="N160" s="519"/>
      <c r="O160" s="192" t="str">
        <f t="shared" si="29"/>
        <v/>
      </c>
      <c r="P160" s="192" t="str">
        <f>IF(O160="","",SUM($O$156:O160)+$Z$156)</f>
        <v/>
      </c>
      <c r="Q160" s="192" t="str">
        <f t="shared" si="37"/>
        <v/>
      </c>
      <c r="R160" s="193" t="str">
        <f>IF(J160="Duplex",VLOOKUP(M160,'Características dos Cabos MX CH'!$C$12:$I$14,5),(IF(J160="Triplex",VLOOKUP(M160,'Características dos Cabos MX CH'!$C$15:$J$20,5),(IF(J160="Quadruplex",VLOOKUP(M160,'Características dos Cabos MX CH'!$C$21:$K$27,5),(IF(J160="13",VLOOKUP(M160,'Características dos Cabos MX CH'!$C$15:$L$20,5),"")))))))</f>
        <v/>
      </c>
      <c r="S160" s="193" t="str">
        <f>IF(J160="Duplex",VLOOKUP(M160,'Características dos Cabos MX CH'!$C$12:$I$14,6),(IF(J160="Triplex",VLOOKUP(M160,'Características dos Cabos MX CH'!$C$15:$J$20,6),(IF(J160="Quadruplex",VLOOKUP(M160,'Características dos Cabos MX CH'!$C$21:$K$27,6),(IF(J160="13",VLOOKUP(M160,'Características dos Cabos MX CH'!$C$15:$L$20,6),"")))))))</f>
        <v/>
      </c>
      <c r="T160" s="194" t="str">
        <f t="shared" si="27"/>
        <v/>
      </c>
      <c r="U160" s="447" t="str">
        <f>IF(J160="Duplex",VLOOKUP(M160,'Características dos Cabos MX CH'!$C$12:$I$14,2),(IF(J160="Triplex",VLOOKUP(M160,'Características dos Cabos MX CH'!$C$15:$J$20,2),(IF(J160="Quadruplex",VLOOKUP(M160,'Características dos Cabos MX CH'!$C$21:$K$27,2),(IF(J160="13",VLOOKUP(M160,'Características dos Cabos MX CH'!$C$15:$L$20,2),"")))))))</f>
        <v/>
      </c>
      <c r="V160" s="193" t="str">
        <f>IF(J160="Duplex",VLOOKUP(M160,'Características dos Cabos MX CH'!$C$12:$I$14,3),(IF(J160="Triplex",VLOOKUP(M160,'Características dos Cabos MX CH'!$C$15:$J$20,3),(IF(J160="Quadruplex",VLOOKUP(M160,'Características dos Cabos MX CH'!$C$21:$K$27,3),(IF(J160="13",VLOOKUP(M160,'Características dos Cabos MX CH'!$C$15:$L$20,3),"")))))))</f>
        <v/>
      </c>
      <c r="W160" s="195" t="str">
        <f t="shared" si="30"/>
        <v/>
      </c>
      <c r="X160" s="195" t="str">
        <f t="shared" si="31"/>
        <v/>
      </c>
      <c r="Y160" s="196" t="str">
        <f t="shared" si="32"/>
        <v/>
      </c>
      <c r="AA160" s="488">
        <f t="shared" si="33"/>
        <v>0</v>
      </c>
      <c r="AB160" s="488">
        <f t="shared" si="38"/>
        <v>0</v>
      </c>
      <c r="AC160" s="485"/>
      <c r="AE160" s="492" t="str">
        <f t="shared" si="35"/>
        <v/>
      </c>
      <c r="AF160" s="475">
        <f t="shared" si="28"/>
        <v>0</v>
      </c>
    </row>
    <row r="161" spans="1:32" ht="15" customHeight="1">
      <c r="A161" s="696"/>
      <c r="B161" s="698"/>
      <c r="C161" s="517"/>
      <c r="D161" s="520"/>
      <c r="E161" s="522"/>
      <c r="F161" s="521" t="str">
        <f t="shared" si="34"/>
        <v/>
      </c>
      <c r="G161" s="518"/>
      <c r="H161" s="190" t="str">
        <f>IF(AND(E161="",G161=""),"",SUM(F161:G165))</f>
        <v/>
      </c>
      <c r="I161" s="191"/>
      <c r="J161" s="514"/>
      <c r="K161" s="514"/>
      <c r="L161" s="197" t="str">
        <f>IF(J161="Duplex",VLOOKUP(M161,'Características dos Cabos M EX'!$C$12:$I$14,7),(IF(J161="Triplex",VLOOKUP(M161,'Características dos Cabos M EX'!$C$15:$J$20,8),(IF(J161="Quadruplex",VLOOKUP(M161,'Características dos Cabos M EX'!$C$21:$K$27,9),(IF(J161="13",VLOOKUP(M161,'Características dos Cabos M EX'!$C$15:$L$20,10),"")))))))</f>
        <v/>
      </c>
      <c r="M161" s="350" t="str">
        <f t="shared" si="36"/>
        <v/>
      </c>
      <c r="N161" s="519"/>
      <c r="O161" s="192" t="str">
        <f t="shared" si="29"/>
        <v/>
      </c>
      <c r="P161" s="192" t="str">
        <f>IF(O161="","",SUM($O$156:O161)+$Z$156)</f>
        <v/>
      </c>
      <c r="Q161" s="192" t="str">
        <f t="shared" si="37"/>
        <v/>
      </c>
      <c r="R161" s="193" t="str">
        <f>IF(J161="Duplex",VLOOKUP(M161,'Características dos Cabos MX CH'!$C$12:$I$14,5),(IF(J161="Triplex",VLOOKUP(M161,'Características dos Cabos MX CH'!$C$15:$J$20,5),(IF(J161="Quadruplex",VLOOKUP(M161,'Características dos Cabos MX CH'!$C$21:$K$27,5),(IF(J161="13",VLOOKUP(M161,'Características dos Cabos MX CH'!$C$15:$L$20,5),"")))))))</f>
        <v/>
      </c>
      <c r="S161" s="193" t="str">
        <f>IF(J161="Duplex",VLOOKUP(M161,'Características dos Cabos MX CH'!$C$12:$I$14,6),(IF(J161="Triplex",VLOOKUP(M161,'Características dos Cabos MX CH'!$C$15:$J$20,6),(IF(J161="Quadruplex",VLOOKUP(M161,'Características dos Cabos MX CH'!$C$21:$K$27,6),(IF(J161="13",VLOOKUP(M161,'Características dos Cabos MX CH'!$C$15:$L$20,6),"")))))))</f>
        <v/>
      </c>
      <c r="T161" s="194" t="str">
        <f t="shared" si="27"/>
        <v/>
      </c>
      <c r="U161" s="447" t="str">
        <f>IF(J161="Duplex",VLOOKUP(M161,'Características dos Cabos MX CH'!$C$12:$I$14,2),(IF(J161="Triplex",VLOOKUP(M161,'Características dos Cabos MX CH'!$C$15:$J$20,2),(IF(J161="Quadruplex",VLOOKUP(M161,'Características dos Cabos MX CH'!$C$21:$K$27,2),(IF(J161="13",VLOOKUP(M161,'Características dos Cabos MX CH'!$C$15:$L$20,2),"")))))))</f>
        <v/>
      </c>
      <c r="V161" s="193" t="str">
        <f>IF(J161="Duplex",VLOOKUP(M161,'Características dos Cabos MX CH'!$C$12:$I$14,3),(IF(J161="Triplex",VLOOKUP(M161,'Características dos Cabos MX CH'!$C$15:$J$20,3),(IF(J161="Quadruplex",VLOOKUP(M161,'Características dos Cabos MX CH'!$C$21:$K$27,3),(IF(J161="13",VLOOKUP(M161,'Características dos Cabos MX CH'!$C$15:$L$20,3),"")))))))</f>
        <v/>
      </c>
      <c r="W161" s="195" t="str">
        <f t="shared" si="30"/>
        <v/>
      </c>
      <c r="X161" s="195" t="str">
        <f t="shared" si="31"/>
        <v/>
      </c>
      <c r="Y161" s="196" t="str">
        <f t="shared" si="32"/>
        <v/>
      </c>
      <c r="AA161" s="488">
        <f t="shared" si="33"/>
        <v>0</v>
      </c>
      <c r="AB161" s="488">
        <f t="shared" si="38"/>
        <v>0</v>
      </c>
      <c r="AC161" s="485"/>
      <c r="AE161" s="492" t="str">
        <f t="shared" si="35"/>
        <v/>
      </c>
      <c r="AF161" s="475">
        <f t="shared" si="28"/>
        <v>0</v>
      </c>
    </row>
    <row r="162" spans="1:32" ht="15" customHeight="1">
      <c r="A162" s="696"/>
      <c r="B162" s="698"/>
      <c r="C162" s="517"/>
      <c r="D162" s="520"/>
      <c r="E162" s="522"/>
      <c r="F162" s="521" t="str">
        <f t="shared" si="34"/>
        <v/>
      </c>
      <c r="G162" s="518"/>
      <c r="H162" s="190" t="str">
        <f>IF(AND(E162="",G162=""),"",SUM(F162:G165))</f>
        <v/>
      </c>
      <c r="I162" s="191"/>
      <c r="J162" s="514"/>
      <c r="K162" s="514"/>
      <c r="L162" s="197" t="str">
        <f>IF(J162="Duplex",VLOOKUP(M162,'Características dos Cabos M EX'!$C$12:$I$14,7),(IF(J162="Triplex",VLOOKUP(M162,'Características dos Cabos M EX'!$C$15:$J$20,8),(IF(J162="Quadruplex",VLOOKUP(M162,'Características dos Cabos M EX'!$C$21:$K$27,9),(IF(J162="13",VLOOKUP(M162,'Características dos Cabos M EX'!$C$15:$L$20,10),"")))))))</f>
        <v/>
      </c>
      <c r="M162" s="350" t="str">
        <f t="shared" si="36"/>
        <v/>
      </c>
      <c r="N162" s="519"/>
      <c r="O162" s="192" t="str">
        <f t="shared" si="29"/>
        <v/>
      </c>
      <c r="P162" s="192" t="str">
        <f>IF(O162="","",SUM($O$156:O162)+$Z$156)</f>
        <v/>
      </c>
      <c r="Q162" s="192" t="str">
        <f t="shared" si="37"/>
        <v/>
      </c>
      <c r="R162" s="193" t="str">
        <f>IF(J162="Duplex",VLOOKUP(M162,'Características dos Cabos MX CH'!$C$12:$I$14,5),(IF(J162="Triplex",VLOOKUP(M162,'Características dos Cabos MX CH'!$C$15:$J$20,5),(IF(J162="Quadruplex",VLOOKUP(M162,'Características dos Cabos MX CH'!$C$21:$K$27,5),(IF(J162="13",VLOOKUP(M162,'Características dos Cabos MX CH'!$C$15:$L$20,5),"")))))))</f>
        <v/>
      </c>
      <c r="S162" s="193" t="str">
        <f>IF(J162="Duplex",VLOOKUP(M162,'Características dos Cabos MX CH'!$C$12:$I$14,6),(IF(J162="Triplex",VLOOKUP(M162,'Características dos Cabos MX CH'!$C$15:$J$20,6),(IF(J162="Quadruplex",VLOOKUP(M162,'Características dos Cabos MX CH'!$C$21:$K$27,6),(IF(J162="13",VLOOKUP(M162,'Características dos Cabos MX CH'!$C$15:$L$20,6),"")))))))</f>
        <v/>
      </c>
      <c r="T162" s="194" t="str">
        <f t="shared" si="27"/>
        <v/>
      </c>
      <c r="U162" s="447" t="str">
        <f>IF(J162="Duplex",VLOOKUP(M162,'Características dos Cabos MX CH'!$C$12:$I$14,2),(IF(J162="Triplex",VLOOKUP(M162,'Características dos Cabos MX CH'!$C$15:$J$20,2),(IF(J162="Quadruplex",VLOOKUP(M162,'Características dos Cabos MX CH'!$C$21:$K$27,2),(IF(J162="13",VLOOKUP(M162,'Características dos Cabos MX CH'!$C$15:$L$20,2),"")))))))</f>
        <v/>
      </c>
      <c r="V162" s="193" t="str">
        <f>IF(J162="Duplex",VLOOKUP(M162,'Características dos Cabos MX CH'!$C$12:$I$14,3),(IF(J162="Triplex",VLOOKUP(M162,'Características dos Cabos MX CH'!$C$15:$J$20,3),(IF(J162="Quadruplex",VLOOKUP(M162,'Características dos Cabos MX CH'!$C$21:$K$27,3),(IF(J162="13",VLOOKUP(M162,'Características dos Cabos MX CH'!$C$15:$L$20,3),"")))))))</f>
        <v/>
      </c>
      <c r="W162" s="195" t="str">
        <f t="shared" si="30"/>
        <v/>
      </c>
      <c r="X162" s="195" t="str">
        <f t="shared" si="31"/>
        <v/>
      </c>
      <c r="Y162" s="196" t="str">
        <f t="shared" si="32"/>
        <v/>
      </c>
      <c r="AA162" s="488">
        <f t="shared" si="33"/>
        <v>0</v>
      </c>
      <c r="AB162" s="488">
        <f t="shared" si="38"/>
        <v>0</v>
      </c>
      <c r="AC162" s="485"/>
      <c r="AE162" s="492" t="str">
        <f t="shared" si="35"/>
        <v/>
      </c>
      <c r="AF162" s="475">
        <f t="shared" si="28"/>
        <v>0</v>
      </c>
    </row>
    <row r="163" spans="1:32" ht="15" customHeight="1">
      <c r="A163" s="696"/>
      <c r="B163" s="698"/>
      <c r="C163" s="517"/>
      <c r="D163" s="520"/>
      <c r="E163" s="522"/>
      <c r="F163" s="521" t="str">
        <f t="shared" si="34"/>
        <v/>
      </c>
      <c r="G163" s="518"/>
      <c r="H163" s="190" t="str">
        <f>IF(AND(E163="",G163=""),"",SUM(F163:G165))</f>
        <v/>
      </c>
      <c r="I163" s="191"/>
      <c r="J163" s="514"/>
      <c r="K163" s="514"/>
      <c r="L163" s="197" t="str">
        <f>IF(J163="Duplex",VLOOKUP(M163,'Características dos Cabos M EX'!$C$12:$I$14,7),(IF(J163="Triplex",VLOOKUP(M163,'Características dos Cabos M EX'!$C$15:$J$20,8),(IF(J163="Quadruplex",VLOOKUP(M163,'Características dos Cabos M EX'!$C$21:$K$27,9),(IF(J163="13",VLOOKUP(M163,'Características dos Cabos M EX'!$C$15:$L$20,10),"")))))))</f>
        <v/>
      </c>
      <c r="M163" s="350" t="str">
        <f t="shared" si="36"/>
        <v/>
      </c>
      <c r="N163" s="519"/>
      <c r="O163" s="192" t="str">
        <f t="shared" si="29"/>
        <v/>
      </c>
      <c r="P163" s="192" t="str">
        <f>IF(O163="","",SUM($O$156:O163)+$Z$156)</f>
        <v/>
      </c>
      <c r="Q163" s="192" t="str">
        <f t="shared" si="37"/>
        <v/>
      </c>
      <c r="R163" s="193" t="str">
        <f>IF(J163="Duplex",VLOOKUP(M163,'Características dos Cabos MX CH'!$C$12:$I$14,5),(IF(J163="Triplex",VLOOKUP(M163,'Características dos Cabos MX CH'!$C$15:$J$20,5),(IF(J163="Quadruplex",VLOOKUP(M163,'Características dos Cabos MX CH'!$C$21:$K$27,5),(IF(J163="13",VLOOKUP(M163,'Características dos Cabos MX CH'!$C$15:$L$20,5),"")))))))</f>
        <v/>
      </c>
      <c r="S163" s="193" t="str">
        <f>IF(J163="Duplex",VLOOKUP(M163,'Características dos Cabos MX CH'!$C$12:$I$14,6),(IF(J163="Triplex",VLOOKUP(M163,'Características dos Cabos MX CH'!$C$15:$J$20,6),(IF(J163="Quadruplex",VLOOKUP(M163,'Características dos Cabos MX CH'!$C$21:$K$27,6),(IF(J163="13",VLOOKUP(M163,'Características dos Cabos MX CH'!$C$15:$L$20,6),"")))))))</f>
        <v/>
      </c>
      <c r="T163" s="194" t="str">
        <f t="shared" si="27"/>
        <v/>
      </c>
      <c r="U163" s="447" t="str">
        <f>IF(J163="Duplex",VLOOKUP(M163,'Características dos Cabos MX CH'!$C$12:$I$14,2),(IF(J163="Triplex",VLOOKUP(M163,'Características dos Cabos MX CH'!$C$15:$J$20,2),(IF(J163="Quadruplex",VLOOKUP(M163,'Características dos Cabos MX CH'!$C$21:$K$27,2),(IF(J163="13",VLOOKUP(M163,'Características dos Cabos MX CH'!$C$15:$L$20,2),"")))))))</f>
        <v/>
      </c>
      <c r="V163" s="193" t="str">
        <f>IF(J163="Duplex",VLOOKUP(M163,'Características dos Cabos MX CH'!$C$12:$I$14,3),(IF(J163="Triplex",VLOOKUP(M163,'Características dos Cabos MX CH'!$C$15:$J$20,3),(IF(J163="Quadruplex",VLOOKUP(M163,'Características dos Cabos MX CH'!$C$21:$K$27,3),(IF(J163="13",VLOOKUP(M163,'Características dos Cabos MX CH'!$C$15:$L$20,3),"")))))))</f>
        <v/>
      </c>
      <c r="W163" s="195" t="str">
        <f t="shared" si="30"/>
        <v/>
      </c>
      <c r="X163" s="195" t="str">
        <f t="shared" si="31"/>
        <v/>
      </c>
      <c r="Y163" s="196" t="str">
        <f t="shared" si="32"/>
        <v/>
      </c>
      <c r="AA163" s="488">
        <f t="shared" si="33"/>
        <v>0</v>
      </c>
      <c r="AB163" s="488">
        <f t="shared" si="38"/>
        <v>0</v>
      </c>
      <c r="AC163" s="485"/>
      <c r="AE163" s="492" t="str">
        <f t="shared" si="35"/>
        <v/>
      </c>
      <c r="AF163" s="475">
        <f t="shared" si="28"/>
        <v>0</v>
      </c>
    </row>
    <row r="164" spans="1:32" ht="15" customHeight="1">
      <c r="A164" s="696"/>
      <c r="B164" s="698"/>
      <c r="C164" s="517"/>
      <c r="D164" s="520"/>
      <c r="E164" s="522"/>
      <c r="F164" s="521" t="str">
        <f t="shared" si="34"/>
        <v/>
      </c>
      <c r="G164" s="518"/>
      <c r="H164" s="190" t="str">
        <f>IF(AND(E164="",G164=""),"",SUM(F164:G165))</f>
        <v/>
      </c>
      <c r="I164" s="191"/>
      <c r="J164" s="514"/>
      <c r="K164" s="514"/>
      <c r="L164" s="197" t="str">
        <f>IF(J164="Duplex",VLOOKUP(M164,'Características dos Cabos M EX'!$C$12:$I$14,7),(IF(J164="Triplex",VLOOKUP(M164,'Características dos Cabos M EX'!$C$15:$J$20,8),(IF(J164="Quadruplex",VLOOKUP(M164,'Características dos Cabos M EX'!$C$21:$K$27,9),(IF(J164="13",VLOOKUP(M164,'Características dos Cabos M EX'!$C$15:$L$20,10),"")))))))</f>
        <v/>
      </c>
      <c r="M164" s="350" t="str">
        <f t="shared" si="36"/>
        <v/>
      </c>
      <c r="N164" s="519"/>
      <c r="O164" s="192" t="str">
        <f t="shared" si="29"/>
        <v/>
      </c>
      <c r="P164" s="192" t="str">
        <f>IF(O164="","",SUM($O$156:O164)+$Z$156)</f>
        <v/>
      </c>
      <c r="Q164" s="192" t="str">
        <f t="shared" si="37"/>
        <v/>
      </c>
      <c r="R164" s="193" t="str">
        <f>IF(J164="Duplex",VLOOKUP(M164,'Características dos Cabos MX CH'!$C$12:$I$14,5),(IF(J164="Triplex",VLOOKUP(M164,'Características dos Cabos MX CH'!$C$15:$J$20,5),(IF(J164="Quadruplex",VLOOKUP(M164,'Características dos Cabos MX CH'!$C$21:$K$27,5),(IF(J164="13",VLOOKUP(M164,'Características dos Cabos MX CH'!$C$15:$L$20,5),"")))))))</f>
        <v/>
      </c>
      <c r="S164" s="193" t="str">
        <f>IF(J164="Duplex",VLOOKUP(M164,'Características dos Cabos MX CH'!$C$12:$I$14,6),(IF(J164="Triplex",VLOOKUP(M164,'Características dos Cabos MX CH'!$C$15:$J$20,6),(IF(J164="Quadruplex",VLOOKUP(M164,'Características dos Cabos MX CH'!$C$21:$K$27,6),(IF(J164="13",VLOOKUP(M164,'Características dos Cabos MX CH'!$C$15:$L$20,6),"")))))))</f>
        <v/>
      </c>
      <c r="T164" s="194" t="str">
        <f t="shared" si="27"/>
        <v/>
      </c>
      <c r="U164" s="447" t="str">
        <f>IF(J164="Duplex",VLOOKUP(M164,'Características dos Cabos MX CH'!$C$12:$I$14,2),(IF(J164="Triplex",VLOOKUP(M164,'Características dos Cabos MX CH'!$C$15:$J$20,2),(IF(J164="Quadruplex",VLOOKUP(M164,'Características dos Cabos MX CH'!$C$21:$K$27,2),(IF(J164="13",VLOOKUP(M164,'Características dos Cabos MX CH'!$C$15:$L$20,2),"")))))))</f>
        <v/>
      </c>
      <c r="V164" s="193" t="str">
        <f>IF(J164="Duplex",VLOOKUP(M164,'Características dos Cabos MX CH'!$C$12:$I$14,3),(IF(J164="Triplex",VLOOKUP(M164,'Características dos Cabos MX CH'!$C$15:$J$20,3),(IF(J164="Quadruplex",VLOOKUP(M164,'Características dos Cabos MX CH'!$C$21:$K$27,3),(IF(J164="13",VLOOKUP(M164,'Características dos Cabos MX CH'!$C$15:$L$20,3),"")))))))</f>
        <v/>
      </c>
      <c r="W164" s="195" t="str">
        <f t="shared" si="30"/>
        <v/>
      </c>
      <c r="X164" s="195" t="str">
        <f t="shared" si="31"/>
        <v/>
      </c>
      <c r="Y164" s="196" t="str">
        <f t="shared" si="32"/>
        <v/>
      </c>
      <c r="AA164" s="488">
        <f t="shared" si="33"/>
        <v>0</v>
      </c>
      <c r="AB164" s="488">
        <f t="shared" si="38"/>
        <v>0</v>
      </c>
      <c r="AC164" s="485"/>
      <c r="AE164" s="492" t="str">
        <f t="shared" si="35"/>
        <v/>
      </c>
      <c r="AF164" s="475">
        <f t="shared" si="28"/>
        <v>0</v>
      </c>
    </row>
    <row r="165" spans="1:32" ht="15" customHeight="1" thickBot="1">
      <c r="A165" s="696"/>
      <c r="B165" s="699"/>
      <c r="C165" s="523"/>
      <c r="D165" s="524"/>
      <c r="E165" s="523"/>
      <c r="F165" s="526" t="str">
        <f t="shared" si="34"/>
        <v/>
      </c>
      <c r="G165" s="527"/>
      <c r="H165" s="200" t="str">
        <f>IF(AND(E165="",G165=""),"",SUM(F165:G165))</f>
        <v/>
      </c>
      <c r="I165" s="201"/>
      <c r="J165" s="528"/>
      <c r="K165" s="528"/>
      <c r="L165" s="202" t="str">
        <f>IF(J165="Duplex",VLOOKUP(M165,'Características dos Cabos M EX'!$C$12:$I$14,7),(IF(J165="Triplex",VLOOKUP(M165,'Características dos Cabos M EX'!$C$15:$J$20,8),(IF(J165="Quadruplex",VLOOKUP(M165,'Características dos Cabos M EX'!$C$21:$K$27,9),(IF(J165="13",VLOOKUP(M165,'Características dos Cabos M EX'!$C$15:$L$20,10),"")))))))</f>
        <v/>
      </c>
      <c r="M165" s="353" t="str">
        <f t="shared" si="36"/>
        <v/>
      </c>
      <c r="N165" s="529"/>
      <c r="O165" s="203" t="str">
        <f t="shared" si="29"/>
        <v/>
      </c>
      <c r="P165" s="202" t="str">
        <f>IF(O165="","",SUM($O$156:O165)+$Z$156)</f>
        <v/>
      </c>
      <c r="Q165" s="203" t="str">
        <f t="shared" si="37"/>
        <v/>
      </c>
      <c r="R165" s="204" t="str">
        <f>IF(J165="Duplex",VLOOKUP(M165,'Características dos Cabos MX CH'!$C$12:$I$14,5),(IF(J165="Triplex",VLOOKUP(M165,'Características dos Cabos MX CH'!$C$15:$J$20,5),(IF(J165="Quadruplex",VLOOKUP(M165,'Características dos Cabos MX CH'!$C$21:$K$27,5),(IF(J165="13",VLOOKUP(M165,'Características dos Cabos MX CH'!$C$15:$L$20,5),"")))))))</f>
        <v/>
      </c>
      <c r="S165" s="204" t="str">
        <f>IF(J165="Duplex",VLOOKUP(M165,'Características dos Cabos MX CH'!$C$12:$I$14,6),(IF(J165="Triplex",VLOOKUP(M165,'Características dos Cabos MX CH'!$C$15:$J$20,6),(IF(J165="Quadruplex",VLOOKUP(M165,'Características dos Cabos MX CH'!$C$21:$K$27,6),(IF(J165="13",VLOOKUP(M165,'Características dos Cabos MX CH'!$C$15:$L$20,6),"")))))))</f>
        <v/>
      </c>
      <c r="T165" s="205" t="str">
        <f t="shared" si="27"/>
        <v/>
      </c>
      <c r="U165" s="448" t="str">
        <f>IF(J165="Duplex",VLOOKUP(M165,'Características dos Cabos MX CH'!$C$12:$I$14,2),(IF(J165="Triplex",VLOOKUP(M165,'Características dos Cabos MX CH'!$C$15:$J$20,2),(IF(J165="Quadruplex",VLOOKUP(M165,'Características dos Cabos MX CH'!$C$21:$K$27,2),(IF(J165="13",VLOOKUP(M165,'Características dos Cabos MX CH'!$C$15:$L$20,2),"")))))))</f>
        <v/>
      </c>
      <c r="V165" s="204" t="str">
        <f>IF(J165="Duplex",VLOOKUP(M165,'Características dos Cabos MX CH'!$C$12:$I$14,3),(IF(J165="Triplex",VLOOKUP(M165,'Características dos Cabos MX CH'!$C$15:$J$20,3),(IF(J165="Quadruplex",VLOOKUP(M165,'Características dos Cabos MX CH'!$C$21:$K$27,3),(IF(J165="13",VLOOKUP(M165,'Características dos Cabos MX CH'!$C$15:$L$20,3),"")))))))</f>
        <v/>
      </c>
      <c r="W165" s="206" t="str">
        <f t="shared" si="30"/>
        <v/>
      </c>
      <c r="X165" s="206" t="str">
        <f t="shared" si="31"/>
        <v/>
      </c>
      <c r="Y165" s="207" t="str">
        <f t="shared" si="32"/>
        <v/>
      </c>
      <c r="AA165" s="488">
        <f t="shared" si="33"/>
        <v>0</v>
      </c>
      <c r="AB165" s="488">
        <f t="shared" si="38"/>
        <v>0</v>
      </c>
      <c r="AC165" s="485"/>
      <c r="AE165" s="492" t="str">
        <f t="shared" si="35"/>
        <v/>
      </c>
      <c r="AF165" s="475">
        <f t="shared" si="28"/>
        <v>0</v>
      </c>
    </row>
    <row r="166" spans="1:32" ht="15" customHeight="1" thickTop="1">
      <c r="A166" s="696"/>
      <c r="B166" s="700" t="str">
        <f>CONCATENATE("Ramal 13 - Derivando no ponto ",C166)</f>
        <v xml:space="preserve">Ramal 13 - Derivando no ponto </v>
      </c>
      <c r="C166" s="532"/>
      <c r="D166" s="536"/>
      <c r="E166" s="537"/>
      <c r="F166" s="538" t="str">
        <f t="shared" si="34"/>
        <v/>
      </c>
      <c r="G166" s="539"/>
      <c r="H166" s="209" t="str">
        <f>IF(AND(E166="",G166=""),"",SUM(F166:G175))</f>
        <v/>
      </c>
      <c r="I166" s="210"/>
      <c r="J166" s="535"/>
      <c r="K166" s="535"/>
      <c r="L166" s="197" t="str">
        <f>IF(J166="Duplex",VLOOKUP(M166,'Características dos Cabos M EX'!$C$12:$I$14,7),(IF(J166="Triplex",VLOOKUP(M166,'Características dos Cabos M EX'!$C$15:$J$20,8),(IF(J166="Quadruplex",VLOOKUP(M166,'Características dos Cabos M EX'!$C$21:$K$27,9),(IF(J166="13",VLOOKUP(M166,'Características dos Cabos M EX'!$C$15:$L$20,10),"")))))))</f>
        <v/>
      </c>
      <c r="M166" s="354" t="str">
        <f t="shared" si="36"/>
        <v/>
      </c>
      <c r="N166" s="540"/>
      <c r="O166" s="212" t="str">
        <f t="shared" si="29"/>
        <v/>
      </c>
      <c r="P166" s="212" t="str">
        <f>IF(O166="","",O166+VLOOKUP(C166,$D$21:$Q$165,13,FALSE))</f>
        <v/>
      </c>
      <c r="Q166" s="212" t="str">
        <f t="shared" si="37"/>
        <v/>
      </c>
      <c r="R166" s="213" t="str">
        <f>IF(J166="Duplex",VLOOKUP(M166,'Características dos Cabos MX CH'!$C$12:$I$14,5),(IF(J166="Triplex",VLOOKUP(M166,'Características dos Cabos MX CH'!$C$15:$J$20,5),(IF(J166="Quadruplex",VLOOKUP(M166,'Características dos Cabos MX CH'!$C$21:$K$27,5),(IF(J166="13",VLOOKUP(M166,'Características dos Cabos MX CH'!$C$15:$L$20,5),"")))))))</f>
        <v/>
      </c>
      <c r="S166" s="213" t="str">
        <f>IF(J166="Duplex",VLOOKUP(M166,'Características dos Cabos MX CH'!$C$12:$I$14,6),(IF(J166="Triplex",VLOOKUP(M166,'Características dos Cabos MX CH'!$C$15:$J$20,6),(IF(J166="Quadruplex",VLOOKUP(M166,'Características dos Cabos MX CH'!$C$21:$K$27,6),(IF(J166="13",VLOOKUP(M166,'Características dos Cabos MX CH'!$C$15:$L$20,6),"")))))))</f>
        <v/>
      </c>
      <c r="T166" s="214" t="str">
        <f t="shared" si="27"/>
        <v/>
      </c>
      <c r="U166" s="450" t="str">
        <f>IF(J166="Duplex",VLOOKUP(M166,'Características dos Cabos MX CH'!$C$12:$I$14,2),(IF(J166="Triplex",VLOOKUP(M166,'Características dos Cabos MX CH'!$C$15:$J$20,2),(IF(J166="Quadruplex",VLOOKUP(M166,'Características dos Cabos MX CH'!$C$21:$K$27,2),(IF(J166="13",VLOOKUP(M166,'Características dos Cabos MX CH'!$C$15:$L$20,2),"")))))))</f>
        <v/>
      </c>
      <c r="V166" s="213" t="str">
        <f>IF(J166="Duplex",VLOOKUP(M166,'Características dos Cabos MX CH'!$C$12:$I$14,3),(IF(J166="Triplex",VLOOKUP(M166,'Características dos Cabos MX CH'!$C$15:$J$20,3),(IF(J166="Quadruplex",VLOOKUP(M166,'Características dos Cabos MX CH'!$C$21:$K$27,3),(IF(J166="13",VLOOKUP(M166,'Características dos Cabos MX CH'!$C$15:$L$20,3),"")))))))</f>
        <v/>
      </c>
      <c r="W166" s="215" t="str">
        <f t="shared" si="30"/>
        <v/>
      </c>
      <c r="X166" s="215" t="str">
        <f t="shared" si="31"/>
        <v/>
      </c>
      <c r="Y166" s="216" t="str">
        <f t="shared" si="32"/>
        <v/>
      </c>
      <c r="Z166" s="463" t="str">
        <f>IF(O166="","",VLOOKUP(C166,$D$21:$P$165,13,FALSE))</f>
        <v/>
      </c>
      <c r="AA166" s="488">
        <f t="shared" si="33"/>
        <v>0</v>
      </c>
      <c r="AB166" s="488">
        <f t="shared" si="38"/>
        <v>0</v>
      </c>
      <c r="AC166" s="485"/>
      <c r="AE166" s="492" t="str">
        <f t="shared" si="35"/>
        <v/>
      </c>
      <c r="AF166" s="475">
        <f t="shared" si="28"/>
        <v>0</v>
      </c>
    </row>
    <row r="167" spans="1:32" ht="15" customHeight="1">
      <c r="A167" s="696"/>
      <c r="B167" s="698"/>
      <c r="C167" s="517"/>
      <c r="D167" s="520"/>
      <c r="E167" s="522"/>
      <c r="F167" s="521" t="str">
        <f t="shared" si="34"/>
        <v/>
      </c>
      <c r="G167" s="518"/>
      <c r="H167" s="190" t="str">
        <f>IF(AND(E167="",G167=""),"",SUM(F167:G175))</f>
        <v/>
      </c>
      <c r="I167" s="191"/>
      <c r="J167" s="514"/>
      <c r="K167" s="514"/>
      <c r="L167" s="197" t="str">
        <f>IF(J167="Duplex",VLOOKUP(M167,'Características dos Cabos M EX'!$C$12:$I$14,7),(IF(J167="Triplex",VLOOKUP(M167,'Características dos Cabos M EX'!$C$15:$J$20,8),(IF(J167="Quadruplex",VLOOKUP(M167,'Características dos Cabos M EX'!$C$21:$K$27,9),(IF(J167="13",VLOOKUP(M167,'Características dos Cabos M EX'!$C$15:$L$20,10),"")))))))</f>
        <v/>
      </c>
      <c r="M167" s="350" t="str">
        <f t="shared" si="36"/>
        <v/>
      </c>
      <c r="N167" s="519"/>
      <c r="O167" s="192" t="str">
        <f t="shared" si="29"/>
        <v/>
      </c>
      <c r="P167" s="192" t="str">
        <f>IF(O167="","",SUM($O$166:O167)+$Z$166)</f>
        <v/>
      </c>
      <c r="Q167" s="192" t="str">
        <f t="shared" si="37"/>
        <v/>
      </c>
      <c r="R167" s="193" t="str">
        <f>IF(J167="Duplex",VLOOKUP(M167,'Características dos Cabos MX CH'!$C$12:$I$14,5),(IF(J167="Triplex",VLOOKUP(M167,'Características dos Cabos MX CH'!$C$15:$J$20,5),(IF(J167="Quadruplex",VLOOKUP(M167,'Características dos Cabos MX CH'!$C$21:$K$27,5),(IF(J167="13",VLOOKUP(M167,'Características dos Cabos MX CH'!$C$15:$L$20,5),"")))))))</f>
        <v/>
      </c>
      <c r="S167" s="193" t="str">
        <f>IF(J167="Duplex",VLOOKUP(M167,'Características dos Cabos MX CH'!$C$12:$I$14,6),(IF(J167="Triplex",VLOOKUP(M167,'Características dos Cabos MX CH'!$C$15:$J$20,6),(IF(J167="Quadruplex",VLOOKUP(M167,'Características dos Cabos MX CH'!$C$21:$K$27,6),(IF(J167="13",VLOOKUP(M167,'Características dos Cabos MX CH'!$C$15:$L$20,6),"")))))))</f>
        <v/>
      </c>
      <c r="T167" s="194" t="str">
        <f t="shared" si="27"/>
        <v/>
      </c>
      <c r="U167" s="447" t="str">
        <f>IF(J167="Duplex",VLOOKUP(M167,'Características dos Cabos MX CH'!$C$12:$I$14,2),(IF(J167="Triplex",VLOOKUP(M167,'Características dos Cabos MX CH'!$C$15:$J$20,2),(IF(J167="Quadruplex",VLOOKUP(M167,'Características dos Cabos MX CH'!$C$21:$K$27,2),(IF(J167="13",VLOOKUP(M167,'Características dos Cabos MX CH'!$C$15:$L$20,2),"")))))))</f>
        <v/>
      </c>
      <c r="V167" s="193" t="str">
        <f>IF(J167="Duplex",VLOOKUP(M167,'Características dos Cabos MX CH'!$C$12:$I$14,3),(IF(J167="Triplex",VLOOKUP(M167,'Características dos Cabos MX CH'!$C$15:$J$20,3),(IF(J167="Quadruplex",VLOOKUP(M167,'Características dos Cabos MX CH'!$C$21:$K$27,3),(IF(J167="13",VLOOKUP(M167,'Características dos Cabos MX CH'!$C$15:$L$20,3),"")))))))</f>
        <v/>
      </c>
      <c r="W167" s="195" t="str">
        <f t="shared" si="30"/>
        <v/>
      </c>
      <c r="X167" s="195" t="str">
        <f t="shared" si="31"/>
        <v/>
      </c>
      <c r="Y167" s="196" t="str">
        <f t="shared" si="32"/>
        <v/>
      </c>
      <c r="AA167" s="488">
        <f t="shared" si="33"/>
        <v>0</v>
      </c>
      <c r="AB167" s="488">
        <f t="shared" si="38"/>
        <v>0</v>
      </c>
      <c r="AC167" s="485"/>
      <c r="AE167" s="492" t="str">
        <f t="shared" si="35"/>
        <v/>
      </c>
      <c r="AF167" s="475">
        <f t="shared" si="28"/>
        <v>0</v>
      </c>
    </row>
    <row r="168" spans="1:32" ht="15" customHeight="1">
      <c r="A168" s="696"/>
      <c r="B168" s="698"/>
      <c r="C168" s="517"/>
      <c r="D168" s="520"/>
      <c r="E168" s="522"/>
      <c r="F168" s="521" t="str">
        <f t="shared" si="34"/>
        <v/>
      </c>
      <c r="G168" s="518"/>
      <c r="H168" s="190" t="str">
        <f>IF(AND(E168="",G168=""),"",SUM(F168:G175))</f>
        <v/>
      </c>
      <c r="I168" s="191"/>
      <c r="J168" s="514"/>
      <c r="K168" s="514"/>
      <c r="L168" s="197" t="str">
        <f>IF(J168="Duplex",VLOOKUP(M168,'Características dos Cabos M EX'!$C$12:$I$14,7),(IF(J168="Triplex",VLOOKUP(M168,'Características dos Cabos M EX'!$C$15:$J$20,8),(IF(J168="Quadruplex",VLOOKUP(M168,'Características dos Cabos M EX'!$C$21:$K$27,9),(IF(J168="13",VLOOKUP(M168,'Características dos Cabos M EX'!$C$15:$L$20,10),"")))))))</f>
        <v/>
      </c>
      <c r="M168" s="350" t="str">
        <f t="shared" si="36"/>
        <v/>
      </c>
      <c r="N168" s="519"/>
      <c r="O168" s="192" t="str">
        <f t="shared" si="29"/>
        <v/>
      </c>
      <c r="P168" s="192" t="str">
        <f>IF(O168="","",SUM($O$166:O168)+$Z$166)</f>
        <v/>
      </c>
      <c r="Q168" s="192" t="str">
        <f t="shared" si="37"/>
        <v/>
      </c>
      <c r="R168" s="193" t="str">
        <f>IF(J168="Duplex",VLOOKUP(M168,'Características dos Cabos MX CH'!$C$12:$I$14,5),(IF(J168="Triplex",VLOOKUP(M168,'Características dos Cabos MX CH'!$C$15:$J$20,5),(IF(J168="Quadruplex",VLOOKUP(M168,'Características dos Cabos MX CH'!$C$21:$K$27,5),(IF(J168="13",VLOOKUP(M168,'Características dos Cabos MX CH'!$C$15:$L$20,5),"")))))))</f>
        <v/>
      </c>
      <c r="S168" s="193" t="str">
        <f>IF(J168="Duplex",VLOOKUP(M168,'Características dos Cabos MX CH'!$C$12:$I$14,6),(IF(J168="Triplex",VLOOKUP(M168,'Características dos Cabos MX CH'!$C$15:$J$20,6),(IF(J168="Quadruplex",VLOOKUP(M168,'Características dos Cabos MX CH'!$C$21:$K$27,6),(IF(J168="13",VLOOKUP(M168,'Características dos Cabos MX CH'!$C$15:$L$20,6),"")))))))</f>
        <v/>
      </c>
      <c r="T168" s="194" t="str">
        <f t="shared" si="27"/>
        <v/>
      </c>
      <c r="U168" s="447" t="str">
        <f>IF(J168="Duplex",VLOOKUP(M168,'Características dos Cabos MX CH'!$C$12:$I$14,2),(IF(J168="Triplex",VLOOKUP(M168,'Características dos Cabos MX CH'!$C$15:$J$20,2),(IF(J168="Quadruplex",VLOOKUP(M168,'Características dos Cabos MX CH'!$C$21:$K$27,2),(IF(J168="13",VLOOKUP(M168,'Características dos Cabos MX CH'!$C$15:$L$20,2),"")))))))</f>
        <v/>
      </c>
      <c r="V168" s="193" t="str">
        <f>IF(J168="Duplex",VLOOKUP(M168,'Características dos Cabos MX CH'!$C$12:$I$14,3),(IF(J168="Triplex",VLOOKUP(M168,'Características dos Cabos MX CH'!$C$15:$J$20,3),(IF(J168="Quadruplex",VLOOKUP(M168,'Características dos Cabos MX CH'!$C$21:$K$27,3),(IF(J168="13",VLOOKUP(M168,'Características dos Cabos MX CH'!$C$15:$L$20,3),"")))))))</f>
        <v/>
      </c>
      <c r="W168" s="195" t="str">
        <f t="shared" si="30"/>
        <v/>
      </c>
      <c r="X168" s="195" t="str">
        <f t="shared" si="31"/>
        <v/>
      </c>
      <c r="Y168" s="196" t="str">
        <f t="shared" si="32"/>
        <v/>
      </c>
      <c r="AA168" s="488">
        <f t="shared" si="33"/>
        <v>0</v>
      </c>
      <c r="AB168" s="488">
        <f t="shared" si="38"/>
        <v>0</v>
      </c>
      <c r="AC168" s="485"/>
      <c r="AE168" s="492" t="str">
        <f t="shared" si="35"/>
        <v/>
      </c>
      <c r="AF168" s="475">
        <f t="shared" si="28"/>
        <v>0</v>
      </c>
    </row>
    <row r="169" spans="1:32" ht="15" customHeight="1">
      <c r="A169" s="696"/>
      <c r="B169" s="698"/>
      <c r="C169" s="517"/>
      <c r="D169" s="520"/>
      <c r="E169" s="522"/>
      <c r="F169" s="521" t="str">
        <f t="shared" si="34"/>
        <v/>
      </c>
      <c r="G169" s="518"/>
      <c r="H169" s="190" t="str">
        <f>IF(AND(E169="",G169=""),"",SUM(F169:G175))</f>
        <v/>
      </c>
      <c r="I169" s="191"/>
      <c r="J169" s="514"/>
      <c r="K169" s="514"/>
      <c r="L169" s="197" t="str">
        <f>IF(J169="Duplex",VLOOKUP(M169,'Características dos Cabos M EX'!$C$12:$I$14,7),(IF(J169="Triplex",VLOOKUP(M169,'Características dos Cabos M EX'!$C$15:$J$20,8),(IF(J169="Quadruplex",VLOOKUP(M169,'Características dos Cabos M EX'!$C$21:$K$27,9),(IF(J169="13",VLOOKUP(M169,'Características dos Cabos M EX'!$C$15:$L$20,10),"")))))))</f>
        <v/>
      </c>
      <c r="M169" s="350" t="str">
        <f t="shared" si="36"/>
        <v/>
      </c>
      <c r="N169" s="519"/>
      <c r="O169" s="192" t="str">
        <f t="shared" si="29"/>
        <v/>
      </c>
      <c r="P169" s="192" t="str">
        <f>IF(O169="","",SUM($O$166:O169)+$Z$166)</f>
        <v/>
      </c>
      <c r="Q169" s="192" t="str">
        <f t="shared" si="37"/>
        <v/>
      </c>
      <c r="R169" s="193" t="str">
        <f>IF(J169="Duplex",VLOOKUP(M169,'Características dos Cabos MX CH'!$C$12:$I$14,5),(IF(J169="Triplex",VLOOKUP(M169,'Características dos Cabos MX CH'!$C$15:$J$20,5),(IF(J169="Quadruplex",VLOOKUP(M169,'Características dos Cabos MX CH'!$C$21:$K$27,5),(IF(J169="13",VLOOKUP(M169,'Características dos Cabos MX CH'!$C$15:$L$20,5),"")))))))</f>
        <v/>
      </c>
      <c r="S169" s="193" t="str">
        <f>IF(J169="Duplex",VLOOKUP(M169,'Características dos Cabos MX CH'!$C$12:$I$14,6),(IF(J169="Triplex",VLOOKUP(M169,'Características dos Cabos MX CH'!$C$15:$J$20,6),(IF(J169="Quadruplex",VLOOKUP(M169,'Características dos Cabos MX CH'!$C$21:$K$27,6),(IF(J169="13",VLOOKUP(M169,'Características dos Cabos MX CH'!$C$15:$L$20,6),"")))))))</f>
        <v/>
      </c>
      <c r="T169" s="194" t="str">
        <f t="shared" si="27"/>
        <v/>
      </c>
      <c r="U169" s="447" t="str">
        <f>IF(J169="Duplex",VLOOKUP(M169,'Características dos Cabos MX CH'!$C$12:$I$14,2),(IF(J169="Triplex",VLOOKUP(M169,'Características dos Cabos MX CH'!$C$15:$J$20,2),(IF(J169="Quadruplex",VLOOKUP(M169,'Características dos Cabos MX CH'!$C$21:$K$27,2),(IF(J169="13",VLOOKUP(M169,'Características dos Cabos MX CH'!$C$15:$L$20,2),"")))))))</f>
        <v/>
      </c>
      <c r="V169" s="193" t="str">
        <f>IF(J169="Duplex",VLOOKUP(M169,'Características dos Cabos MX CH'!$C$12:$I$14,3),(IF(J169="Triplex",VLOOKUP(M169,'Características dos Cabos MX CH'!$C$15:$J$20,3),(IF(J169="Quadruplex",VLOOKUP(M169,'Características dos Cabos MX CH'!$C$21:$K$27,3),(IF(J169="13",VLOOKUP(M169,'Características dos Cabos MX CH'!$C$15:$L$20,3),"")))))))</f>
        <v/>
      </c>
      <c r="W169" s="195" t="str">
        <f t="shared" si="30"/>
        <v/>
      </c>
      <c r="X169" s="195" t="str">
        <f t="shared" si="31"/>
        <v/>
      </c>
      <c r="Y169" s="196" t="str">
        <f t="shared" si="32"/>
        <v/>
      </c>
      <c r="AA169" s="488">
        <f t="shared" si="33"/>
        <v>0</v>
      </c>
      <c r="AB169" s="488">
        <f t="shared" si="38"/>
        <v>0</v>
      </c>
      <c r="AC169" s="485"/>
      <c r="AE169" s="492" t="str">
        <f t="shared" si="35"/>
        <v/>
      </c>
      <c r="AF169" s="475">
        <f t="shared" si="28"/>
        <v>0</v>
      </c>
    </row>
    <row r="170" spans="1:32" ht="15" customHeight="1">
      <c r="A170" s="696"/>
      <c r="B170" s="698"/>
      <c r="C170" s="517"/>
      <c r="D170" s="520"/>
      <c r="E170" s="522"/>
      <c r="F170" s="521" t="str">
        <f t="shared" si="34"/>
        <v/>
      </c>
      <c r="G170" s="518"/>
      <c r="H170" s="190" t="str">
        <f>IF(AND(E170="",G170=""),"",SUM(F170:G175))</f>
        <v/>
      </c>
      <c r="I170" s="191"/>
      <c r="J170" s="514"/>
      <c r="K170" s="514"/>
      <c r="L170" s="197" t="str">
        <f>IF(J170="Duplex",VLOOKUP(M170,'Características dos Cabos M EX'!$C$12:$I$14,7),(IF(J170="Triplex",VLOOKUP(M170,'Características dos Cabos M EX'!$C$15:$J$20,8),(IF(J170="Quadruplex",VLOOKUP(M170,'Características dos Cabos M EX'!$C$21:$K$27,9),(IF(J170="13",VLOOKUP(M170,'Características dos Cabos M EX'!$C$15:$L$20,10),"")))))))</f>
        <v/>
      </c>
      <c r="M170" s="350" t="str">
        <f t="shared" si="36"/>
        <v/>
      </c>
      <c r="N170" s="519"/>
      <c r="O170" s="192" t="str">
        <f t="shared" si="29"/>
        <v/>
      </c>
      <c r="P170" s="192" t="str">
        <f>IF(O170="","",SUM($O$166:O170)+$Z$166)</f>
        <v/>
      </c>
      <c r="Q170" s="192" t="str">
        <f t="shared" si="37"/>
        <v/>
      </c>
      <c r="R170" s="193" t="str">
        <f>IF(J170="Duplex",VLOOKUP(M170,'Características dos Cabos MX CH'!$C$12:$I$14,5),(IF(J170="Triplex",VLOOKUP(M170,'Características dos Cabos MX CH'!$C$15:$J$20,5),(IF(J170="Quadruplex",VLOOKUP(M170,'Características dos Cabos MX CH'!$C$21:$K$27,5),(IF(J170="13",VLOOKUP(M170,'Características dos Cabos MX CH'!$C$15:$L$20,5),"")))))))</f>
        <v/>
      </c>
      <c r="S170" s="193" t="str">
        <f>IF(J170="Duplex",VLOOKUP(M170,'Características dos Cabos MX CH'!$C$12:$I$14,6),(IF(J170="Triplex",VLOOKUP(M170,'Características dos Cabos MX CH'!$C$15:$J$20,6),(IF(J170="Quadruplex",VLOOKUP(M170,'Características dos Cabos MX CH'!$C$21:$K$27,6),(IF(J170="13",VLOOKUP(M170,'Características dos Cabos MX CH'!$C$15:$L$20,6),"")))))))</f>
        <v/>
      </c>
      <c r="T170" s="194" t="str">
        <f t="shared" si="27"/>
        <v/>
      </c>
      <c r="U170" s="447" t="str">
        <f>IF(J170="Duplex",VLOOKUP(M170,'Características dos Cabos MX CH'!$C$12:$I$14,2),(IF(J170="Triplex",VLOOKUP(M170,'Características dos Cabos MX CH'!$C$15:$J$20,2),(IF(J170="Quadruplex",VLOOKUP(M170,'Características dos Cabos MX CH'!$C$21:$K$27,2),(IF(J170="13",VLOOKUP(M170,'Características dos Cabos MX CH'!$C$15:$L$20,2),"")))))))</f>
        <v/>
      </c>
      <c r="V170" s="193" t="str">
        <f>IF(J170="Duplex",VLOOKUP(M170,'Características dos Cabos MX CH'!$C$12:$I$14,3),(IF(J170="Triplex",VLOOKUP(M170,'Características dos Cabos MX CH'!$C$15:$J$20,3),(IF(J170="Quadruplex",VLOOKUP(M170,'Características dos Cabos MX CH'!$C$21:$K$27,3),(IF(J170="13",VLOOKUP(M170,'Características dos Cabos MX CH'!$C$15:$L$20,3),"")))))))</f>
        <v/>
      </c>
      <c r="W170" s="195" t="str">
        <f t="shared" si="30"/>
        <v/>
      </c>
      <c r="X170" s="195" t="str">
        <f t="shared" si="31"/>
        <v/>
      </c>
      <c r="Y170" s="196" t="str">
        <f t="shared" si="32"/>
        <v/>
      </c>
      <c r="AA170" s="488">
        <f t="shared" si="33"/>
        <v>0</v>
      </c>
      <c r="AB170" s="488">
        <f t="shared" si="38"/>
        <v>0</v>
      </c>
      <c r="AC170" s="485"/>
      <c r="AE170" s="492" t="str">
        <f t="shared" si="35"/>
        <v/>
      </c>
      <c r="AF170" s="475">
        <f t="shared" si="28"/>
        <v>0</v>
      </c>
    </row>
    <row r="171" spans="1:32" ht="15" customHeight="1">
      <c r="A171" s="696"/>
      <c r="B171" s="698"/>
      <c r="C171" s="517"/>
      <c r="D171" s="520"/>
      <c r="E171" s="522"/>
      <c r="F171" s="521" t="str">
        <f t="shared" si="34"/>
        <v/>
      </c>
      <c r="G171" s="518"/>
      <c r="H171" s="190" t="str">
        <f>IF(AND(E171="",G171=""),"",SUM(F171:G175))</f>
        <v/>
      </c>
      <c r="I171" s="191"/>
      <c r="J171" s="514"/>
      <c r="K171" s="514"/>
      <c r="L171" s="197" t="str">
        <f>IF(J171="Duplex",VLOOKUP(M171,'Características dos Cabos M EX'!$C$12:$I$14,7),(IF(J171="Triplex",VLOOKUP(M171,'Características dos Cabos M EX'!$C$15:$J$20,8),(IF(J171="Quadruplex",VLOOKUP(M171,'Características dos Cabos M EX'!$C$21:$K$27,9),(IF(J171="13",VLOOKUP(M171,'Características dos Cabos M EX'!$C$15:$L$20,10),"")))))))</f>
        <v/>
      </c>
      <c r="M171" s="350" t="str">
        <f t="shared" si="36"/>
        <v/>
      </c>
      <c r="N171" s="519"/>
      <c r="O171" s="192" t="str">
        <f t="shared" si="29"/>
        <v/>
      </c>
      <c r="P171" s="192" t="str">
        <f>IF(O171="","",SUM($O$166:O171)+$Z$166)</f>
        <v/>
      </c>
      <c r="Q171" s="192" t="str">
        <f t="shared" si="37"/>
        <v/>
      </c>
      <c r="R171" s="193" t="str">
        <f>IF(J171="Duplex",VLOOKUP(M171,'Características dos Cabos MX CH'!$C$12:$I$14,5),(IF(J171="Triplex",VLOOKUP(M171,'Características dos Cabos MX CH'!$C$15:$J$20,5),(IF(J171="Quadruplex",VLOOKUP(M171,'Características dos Cabos MX CH'!$C$21:$K$27,5),(IF(J171="13",VLOOKUP(M171,'Características dos Cabos MX CH'!$C$15:$L$20,5),"")))))))</f>
        <v/>
      </c>
      <c r="S171" s="193" t="str">
        <f>IF(J171="Duplex",VLOOKUP(M171,'Características dos Cabos MX CH'!$C$12:$I$14,6),(IF(J171="Triplex",VLOOKUP(M171,'Características dos Cabos MX CH'!$C$15:$J$20,6),(IF(J171="Quadruplex",VLOOKUP(M171,'Características dos Cabos MX CH'!$C$21:$K$27,6),(IF(J171="13",VLOOKUP(M171,'Características dos Cabos MX CH'!$C$15:$L$20,6),"")))))))</f>
        <v/>
      </c>
      <c r="T171" s="194" t="str">
        <f t="shared" si="27"/>
        <v/>
      </c>
      <c r="U171" s="447" t="str">
        <f>IF(J171="Duplex",VLOOKUP(M171,'Características dos Cabos MX CH'!$C$12:$I$14,2),(IF(J171="Triplex",VLOOKUP(M171,'Características dos Cabos MX CH'!$C$15:$J$20,2),(IF(J171="Quadruplex",VLOOKUP(M171,'Características dos Cabos MX CH'!$C$21:$K$27,2),(IF(J171="13",VLOOKUP(M171,'Características dos Cabos MX CH'!$C$15:$L$20,2),"")))))))</f>
        <v/>
      </c>
      <c r="V171" s="193" t="str">
        <f>IF(J171="Duplex",VLOOKUP(M171,'Características dos Cabos MX CH'!$C$12:$I$14,3),(IF(J171="Triplex",VLOOKUP(M171,'Características dos Cabos MX CH'!$C$15:$J$20,3),(IF(J171="Quadruplex",VLOOKUP(M171,'Características dos Cabos MX CH'!$C$21:$K$27,3),(IF(J171="13",VLOOKUP(M171,'Características dos Cabos MX CH'!$C$15:$L$20,3),"")))))))</f>
        <v/>
      </c>
      <c r="W171" s="195" t="str">
        <f t="shared" si="30"/>
        <v/>
      </c>
      <c r="X171" s="195" t="str">
        <f t="shared" si="31"/>
        <v/>
      </c>
      <c r="Y171" s="196" t="str">
        <f t="shared" si="32"/>
        <v/>
      </c>
      <c r="AA171" s="488">
        <f t="shared" si="33"/>
        <v>0</v>
      </c>
      <c r="AB171" s="488">
        <f t="shared" si="38"/>
        <v>0</v>
      </c>
      <c r="AC171" s="485"/>
      <c r="AE171" s="492" t="str">
        <f t="shared" si="35"/>
        <v/>
      </c>
      <c r="AF171" s="475">
        <f t="shared" si="28"/>
        <v>0</v>
      </c>
    </row>
    <row r="172" spans="1:32" ht="15" customHeight="1">
      <c r="A172" s="696"/>
      <c r="B172" s="698"/>
      <c r="C172" s="517"/>
      <c r="D172" s="520"/>
      <c r="E172" s="522"/>
      <c r="F172" s="521" t="str">
        <f t="shared" si="34"/>
        <v/>
      </c>
      <c r="G172" s="518"/>
      <c r="H172" s="190" t="str">
        <f>IF(AND(E172="",G172=""),"",SUM(F172:G175))</f>
        <v/>
      </c>
      <c r="I172" s="191"/>
      <c r="J172" s="514"/>
      <c r="K172" s="514"/>
      <c r="L172" s="197" t="str">
        <f>IF(J172="Duplex",VLOOKUP(M172,'Características dos Cabos M EX'!$C$12:$I$14,7),(IF(J172="Triplex",VLOOKUP(M172,'Características dos Cabos M EX'!$C$15:$J$20,8),(IF(J172="Quadruplex",VLOOKUP(M172,'Características dos Cabos M EX'!$C$21:$K$27,9),(IF(J172="13",VLOOKUP(M172,'Características dos Cabos M EX'!$C$15:$L$20,10),"")))))))</f>
        <v/>
      </c>
      <c r="M172" s="350" t="str">
        <f t="shared" si="36"/>
        <v/>
      </c>
      <c r="N172" s="519"/>
      <c r="O172" s="192" t="str">
        <f t="shared" si="29"/>
        <v/>
      </c>
      <c r="P172" s="192" t="str">
        <f>IF(O172="","",SUM($O$166:O172)+$Z$166)</f>
        <v/>
      </c>
      <c r="Q172" s="192" t="str">
        <f t="shared" si="37"/>
        <v/>
      </c>
      <c r="R172" s="193" t="str">
        <f>IF(J172="Duplex",VLOOKUP(M172,'Características dos Cabos MX CH'!$C$12:$I$14,5),(IF(J172="Triplex",VLOOKUP(M172,'Características dos Cabos MX CH'!$C$15:$J$20,5),(IF(J172="Quadruplex",VLOOKUP(M172,'Características dos Cabos MX CH'!$C$21:$K$27,5),(IF(J172="13",VLOOKUP(M172,'Características dos Cabos MX CH'!$C$15:$L$20,5),"")))))))</f>
        <v/>
      </c>
      <c r="S172" s="193" t="str">
        <f>IF(J172="Duplex",VLOOKUP(M172,'Características dos Cabos MX CH'!$C$12:$I$14,6),(IF(J172="Triplex",VLOOKUP(M172,'Características dos Cabos MX CH'!$C$15:$J$20,6),(IF(J172="Quadruplex",VLOOKUP(M172,'Características dos Cabos MX CH'!$C$21:$K$27,6),(IF(J172="13",VLOOKUP(M172,'Características dos Cabos MX CH'!$C$15:$L$20,6),"")))))))</f>
        <v/>
      </c>
      <c r="T172" s="194" t="str">
        <f t="shared" si="27"/>
        <v/>
      </c>
      <c r="U172" s="447" t="str">
        <f>IF(J172="Duplex",VLOOKUP(M172,'Características dos Cabos MX CH'!$C$12:$I$14,2),(IF(J172="Triplex",VLOOKUP(M172,'Características dos Cabos MX CH'!$C$15:$J$20,2),(IF(J172="Quadruplex",VLOOKUP(M172,'Características dos Cabos MX CH'!$C$21:$K$27,2),(IF(J172="13",VLOOKUP(M172,'Características dos Cabos MX CH'!$C$15:$L$20,2),"")))))))</f>
        <v/>
      </c>
      <c r="V172" s="193" t="str">
        <f>IF(J172="Duplex",VLOOKUP(M172,'Características dos Cabos MX CH'!$C$12:$I$14,3),(IF(J172="Triplex",VLOOKUP(M172,'Características dos Cabos MX CH'!$C$15:$J$20,3),(IF(J172="Quadruplex",VLOOKUP(M172,'Características dos Cabos MX CH'!$C$21:$K$27,3),(IF(J172="13",VLOOKUP(M172,'Características dos Cabos MX CH'!$C$15:$L$20,3),"")))))))</f>
        <v/>
      </c>
      <c r="W172" s="195" t="str">
        <f t="shared" si="30"/>
        <v/>
      </c>
      <c r="X172" s="195" t="str">
        <f t="shared" si="31"/>
        <v/>
      </c>
      <c r="Y172" s="196" t="str">
        <f t="shared" si="32"/>
        <v/>
      </c>
      <c r="AA172" s="488">
        <f t="shared" si="33"/>
        <v>0</v>
      </c>
      <c r="AB172" s="488">
        <f t="shared" si="38"/>
        <v>0</v>
      </c>
      <c r="AC172" s="485"/>
      <c r="AE172" s="492" t="str">
        <f t="shared" si="35"/>
        <v/>
      </c>
      <c r="AF172" s="475">
        <f t="shared" si="28"/>
        <v>0</v>
      </c>
    </row>
    <row r="173" spans="1:32" ht="15" customHeight="1">
      <c r="A173" s="696"/>
      <c r="B173" s="698"/>
      <c r="C173" s="517"/>
      <c r="D173" s="520"/>
      <c r="E173" s="522"/>
      <c r="F173" s="521" t="str">
        <f t="shared" si="34"/>
        <v/>
      </c>
      <c r="G173" s="518"/>
      <c r="H173" s="190" t="str">
        <f>IF(AND(E173="",G173=""),"",SUM(F173:G175))</f>
        <v/>
      </c>
      <c r="I173" s="191"/>
      <c r="J173" s="514"/>
      <c r="K173" s="514"/>
      <c r="L173" s="197" t="str">
        <f>IF(J173="Duplex",VLOOKUP(M173,'Características dos Cabos M EX'!$C$12:$I$14,7),(IF(J173="Triplex",VLOOKUP(M173,'Características dos Cabos M EX'!$C$15:$J$20,8),(IF(J173="Quadruplex",VLOOKUP(M173,'Características dos Cabos M EX'!$C$21:$K$27,9),(IF(J173="13",VLOOKUP(M173,'Características dos Cabos M EX'!$C$15:$L$20,10),"")))))))</f>
        <v/>
      </c>
      <c r="M173" s="350" t="str">
        <f t="shared" si="36"/>
        <v/>
      </c>
      <c r="N173" s="519"/>
      <c r="O173" s="192" t="str">
        <f t="shared" si="29"/>
        <v/>
      </c>
      <c r="P173" s="192" t="str">
        <f>IF(O173="","",SUM($O$166:O173)+$Z$166)</f>
        <v/>
      </c>
      <c r="Q173" s="192" t="str">
        <f t="shared" si="37"/>
        <v/>
      </c>
      <c r="R173" s="193" t="str">
        <f>IF(J173="Duplex",VLOOKUP(M173,'Características dos Cabos MX CH'!$C$12:$I$14,5),(IF(J173="Triplex",VLOOKUP(M173,'Características dos Cabos MX CH'!$C$15:$J$20,5),(IF(J173="Quadruplex",VLOOKUP(M173,'Características dos Cabos MX CH'!$C$21:$K$27,5),(IF(J173="13",VLOOKUP(M173,'Características dos Cabos MX CH'!$C$15:$L$20,5),"")))))))</f>
        <v/>
      </c>
      <c r="S173" s="193" t="str">
        <f>IF(J173="Duplex",VLOOKUP(M173,'Características dos Cabos MX CH'!$C$12:$I$14,6),(IF(J173="Triplex",VLOOKUP(M173,'Características dos Cabos MX CH'!$C$15:$J$20,6),(IF(J173="Quadruplex",VLOOKUP(M173,'Características dos Cabos MX CH'!$C$21:$K$27,6),(IF(J173="13",VLOOKUP(M173,'Características dos Cabos MX CH'!$C$15:$L$20,6),"")))))))</f>
        <v/>
      </c>
      <c r="T173" s="194" t="str">
        <f t="shared" si="39" ref="T173:T195">IF(OR(Q173="",R173="",S173=""),"",IF(OR($L$11="PE",$L$11="pe"),Q173/R173,IF(OR($L$11="XLPE",$L$11="xlpe"),Q173/S173,"")))</f>
        <v/>
      </c>
      <c r="U173" s="447" t="str">
        <f>IF(J173="Duplex",VLOOKUP(M173,'Características dos Cabos MX CH'!$C$12:$I$14,2),(IF(J173="Triplex",VLOOKUP(M173,'Características dos Cabos MX CH'!$C$15:$J$20,2),(IF(J173="Quadruplex",VLOOKUP(M173,'Características dos Cabos MX CH'!$C$21:$K$27,2),(IF(J173="13",VLOOKUP(M173,'Características dos Cabos MX CH'!$C$15:$L$20,2),"")))))))</f>
        <v/>
      </c>
      <c r="V173" s="193" t="str">
        <f>IF(J173="Duplex",VLOOKUP(M173,'Características dos Cabos MX CH'!$C$12:$I$14,3),(IF(J173="Triplex",VLOOKUP(M173,'Características dos Cabos MX CH'!$C$15:$J$20,3),(IF(J173="Quadruplex",VLOOKUP(M173,'Características dos Cabos MX CH'!$C$21:$K$27,3),(IF(J173="13",VLOOKUP(M173,'Características dos Cabos MX CH'!$C$15:$L$20,3),"")))))))</f>
        <v/>
      </c>
      <c r="W173" s="195" t="str">
        <f t="shared" si="30"/>
        <v/>
      </c>
      <c r="X173" s="195" t="str">
        <f t="shared" si="31"/>
        <v/>
      </c>
      <c r="Y173" s="196" t="str">
        <f t="shared" si="32"/>
        <v/>
      </c>
      <c r="AA173" s="488">
        <f t="shared" si="33"/>
        <v>0</v>
      </c>
      <c r="AB173" s="488">
        <f t="shared" si="38"/>
        <v>0</v>
      </c>
      <c r="AC173" s="485"/>
      <c r="AE173" s="492" t="str">
        <f t="shared" si="35"/>
        <v/>
      </c>
      <c r="AF173" s="475">
        <f t="shared" si="40" ref="AF173:AF195">G173</f>
        <v>0</v>
      </c>
    </row>
    <row r="174" spans="1:32" ht="15" customHeight="1">
      <c r="A174" s="696"/>
      <c r="B174" s="698"/>
      <c r="C174" s="517"/>
      <c r="D174" s="520"/>
      <c r="E174" s="522"/>
      <c r="F174" s="521" t="str">
        <f t="shared" si="34"/>
        <v/>
      </c>
      <c r="G174" s="518"/>
      <c r="H174" s="190" t="str">
        <f>IF(AND(E174="",G174=""),"",SUM(F174:G175))</f>
        <v/>
      </c>
      <c r="I174" s="191"/>
      <c r="J174" s="514"/>
      <c r="K174" s="514"/>
      <c r="L174" s="197" t="str">
        <f>IF(J174="Duplex",VLOOKUP(M174,'Características dos Cabos M EX'!$C$12:$I$14,7),(IF(J174="Triplex",VLOOKUP(M174,'Características dos Cabos M EX'!$C$15:$J$20,8),(IF(J174="Quadruplex",VLOOKUP(M174,'Características dos Cabos M EX'!$C$21:$K$27,9),(IF(J174="13",VLOOKUP(M174,'Características dos Cabos M EX'!$C$15:$L$20,10),"")))))))</f>
        <v/>
      </c>
      <c r="M174" s="350" t="str">
        <f t="shared" si="36"/>
        <v/>
      </c>
      <c r="N174" s="519"/>
      <c r="O174" s="192" t="str">
        <f t="shared" si="41" ref="O174:O195">IF(OR(N174="",L174="",H174=""),"",N174*L174*H174)</f>
        <v/>
      </c>
      <c r="P174" s="192" t="str">
        <f>IF(O174="","",SUM($O$166:O174)+$Z$166)</f>
        <v/>
      </c>
      <c r="Q174" s="192" t="str">
        <f t="shared" si="37"/>
        <v/>
      </c>
      <c r="R174" s="193" t="str">
        <f>IF(J174="Duplex",VLOOKUP(M174,'Características dos Cabos MX CH'!$C$12:$I$14,5),(IF(J174="Triplex",VLOOKUP(M174,'Características dos Cabos MX CH'!$C$15:$J$20,5),(IF(J174="Quadruplex",VLOOKUP(M174,'Características dos Cabos MX CH'!$C$21:$K$27,5),(IF(J174="13",VLOOKUP(M174,'Características dos Cabos MX CH'!$C$15:$L$20,5),"")))))))</f>
        <v/>
      </c>
      <c r="S174" s="193" t="str">
        <f>IF(J174="Duplex",VLOOKUP(M174,'Características dos Cabos MX CH'!$C$12:$I$14,6),(IF(J174="Triplex",VLOOKUP(M174,'Características dos Cabos MX CH'!$C$15:$J$20,6),(IF(J174="Quadruplex",VLOOKUP(M174,'Características dos Cabos MX CH'!$C$21:$K$27,6),(IF(J174="13",VLOOKUP(M174,'Características dos Cabos MX CH'!$C$15:$L$20,6),"")))))))</f>
        <v/>
      </c>
      <c r="T174" s="194" t="str">
        <f t="shared" si="39"/>
        <v/>
      </c>
      <c r="U174" s="447" t="str">
        <f>IF(J174="Duplex",VLOOKUP(M174,'Características dos Cabos MX CH'!$C$12:$I$14,2),(IF(J174="Triplex",VLOOKUP(M174,'Características dos Cabos MX CH'!$C$15:$J$20,2),(IF(J174="Quadruplex",VLOOKUP(M174,'Características dos Cabos MX CH'!$C$21:$K$27,2),(IF(J174="13",VLOOKUP(M174,'Características dos Cabos MX CH'!$C$15:$L$20,2),"")))))))</f>
        <v/>
      </c>
      <c r="V174" s="193" t="str">
        <f>IF(J174="Duplex",VLOOKUP(M174,'Características dos Cabos MX CH'!$C$12:$I$14,3),(IF(J174="Triplex",VLOOKUP(M174,'Características dos Cabos MX CH'!$C$15:$J$20,3),(IF(J174="Quadruplex",VLOOKUP(M174,'Características dos Cabos MX CH'!$C$21:$K$27,3),(IF(J174="13",VLOOKUP(M174,'Características dos Cabos MX CH'!$C$15:$L$20,3),"")))))))</f>
        <v/>
      </c>
      <c r="W174" s="195" t="str">
        <f t="shared" si="42" ref="W174:W195">IF(OR(O174="",$G$15="",H174="",N174=""),"",IF(J174="Quadruplex",3*$L$13*U174*O174/1000*R174^2*8.76,IF(J174="Triplex",2*$L$13*U174*O174/1000*R174^2*8.76,IF(J174="Duplex",$L$13*U174*O174/1000*R174^2*8.76))))</f>
        <v/>
      </c>
      <c r="X174" s="195" t="str">
        <f t="shared" si="43" ref="X174:X195">IF(OR(O174="",$G$15="",H174="",N174=""),"",IF(J174="Quadruplex",3*$L$13*V174*O174/1000*R174^2*8.76,IF(J174="triplex",2*$L$13*V174*O174/1000*R174^2*8.76,IF(J174="Duplex",$L$13*V174*O174/1000*R174^2*8.76))))</f>
        <v/>
      </c>
      <c r="Y174" s="196" t="str">
        <f t="shared" si="44" ref="Y174:Y195">IF(OR(V174="",W174="",X174=""),"",IF($L$11="PE",W174,IF($L$11="XLPE",X174,"")))</f>
        <v/>
      </c>
      <c r="AA174" s="488">
        <f t="shared" si="33"/>
        <v>0</v>
      </c>
      <c r="AB174" s="488">
        <f t="shared" si="38"/>
        <v>0</v>
      </c>
      <c r="AC174" s="485"/>
      <c r="AE174" s="492" t="str">
        <f t="shared" si="35"/>
        <v/>
      </c>
      <c r="AF174" s="475">
        <f t="shared" si="40"/>
        <v>0</v>
      </c>
    </row>
    <row r="175" spans="1:32" ht="15" customHeight="1" thickBot="1">
      <c r="A175" s="696"/>
      <c r="B175" s="699"/>
      <c r="C175" s="523"/>
      <c r="D175" s="524"/>
      <c r="E175" s="523"/>
      <c r="F175" s="526" t="str">
        <f t="shared" si="34"/>
        <v/>
      </c>
      <c r="G175" s="527"/>
      <c r="H175" s="200" t="str">
        <f>IF(AND(E175="",G175=""),"",SUM(F175:G175))</f>
        <v/>
      </c>
      <c r="I175" s="201"/>
      <c r="J175" s="528"/>
      <c r="K175" s="528"/>
      <c r="L175" s="202" t="str">
        <f>IF(J175="Duplex",VLOOKUP(M175,'Características dos Cabos M EX'!$C$12:$I$14,7),(IF(J175="Triplex",VLOOKUP(M175,'Características dos Cabos M EX'!$C$15:$J$20,8),(IF(J175="Quadruplex",VLOOKUP(M175,'Características dos Cabos M EX'!$C$21:$K$27,9),(IF(J175="13",VLOOKUP(M175,'Características dos Cabos M EX'!$C$15:$L$20,10),"")))))))</f>
        <v/>
      </c>
      <c r="M175" s="353" t="str">
        <f t="shared" si="36"/>
        <v/>
      </c>
      <c r="N175" s="529"/>
      <c r="O175" s="203" t="str">
        <f t="shared" si="41"/>
        <v/>
      </c>
      <c r="P175" s="203" t="str">
        <f>IF(O175="","",SUM($O$166:O175)+$Z$166)</f>
        <v/>
      </c>
      <c r="Q175" s="203" t="str">
        <f t="shared" si="37"/>
        <v/>
      </c>
      <c r="R175" s="204" t="str">
        <f>IF(J175="Duplex",VLOOKUP(M175,'Características dos Cabos MX CH'!$C$12:$I$14,5),(IF(J175="Triplex",VLOOKUP(M175,'Características dos Cabos MX CH'!$C$15:$J$20,5),(IF(J175="Quadruplex",VLOOKUP(M175,'Características dos Cabos MX CH'!$C$21:$K$27,5),(IF(J175="13",VLOOKUP(M175,'Características dos Cabos MX CH'!$C$15:$L$20,5),"")))))))</f>
        <v/>
      </c>
      <c r="S175" s="204" t="str">
        <f>IF(J175="Duplex",VLOOKUP(M175,'Características dos Cabos MX CH'!$C$12:$I$14,6),(IF(J175="Triplex",VLOOKUP(M175,'Características dos Cabos MX CH'!$C$15:$J$20,6),(IF(J175="Quadruplex",VLOOKUP(M175,'Características dos Cabos MX CH'!$C$21:$K$27,6),(IF(J175="13",VLOOKUP(M175,'Características dos Cabos MX CH'!$C$15:$L$20,6),"")))))))</f>
        <v/>
      </c>
      <c r="T175" s="205" t="str">
        <f t="shared" si="39"/>
        <v/>
      </c>
      <c r="U175" s="448" t="str">
        <f>IF(J175="Duplex",VLOOKUP(M175,'Características dos Cabos MX CH'!$C$12:$I$14,2),(IF(J175="Triplex",VLOOKUP(M175,'Características dos Cabos MX CH'!$C$15:$J$20,2),(IF(J175="Quadruplex",VLOOKUP(M175,'Características dos Cabos MX CH'!$C$21:$K$27,2),(IF(J175="13",VLOOKUP(M175,'Características dos Cabos MX CH'!$C$15:$L$20,2),"")))))))</f>
        <v/>
      </c>
      <c r="V175" s="204" t="str">
        <f>IF(J175="Duplex",VLOOKUP(M175,'Características dos Cabos MX CH'!$C$12:$I$14,3),(IF(J175="Triplex",VLOOKUP(M175,'Características dos Cabos MX CH'!$C$15:$J$20,3),(IF(J175="Quadruplex",VLOOKUP(M175,'Características dos Cabos MX CH'!$C$21:$K$27,3),(IF(J175="13",VLOOKUP(M175,'Características dos Cabos MX CH'!$C$15:$L$20,3),"")))))))</f>
        <v/>
      </c>
      <c r="W175" s="206" t="str">
        <f t="shared" si="42"/>
        <v/>
      </c>
      <c r="X175" s="206" t="str">
        <f t="shared" si="43"/>
        <v/>
      </c>
      <c r="Y175" s="207" t="str">
        <f t="shared" si="44"/>
        <v/>
      </c>
      <c r="AA175" s="488">
        <f t="shared" si="33"/>
        <v>0</v>
      </c>
      <c r="AB175" s="488">
        <f t="shared" si="38"/>
        <v>0</v>
      </c>
      <c r="AC175" s="485"/>
      <c r="AE175" s="492" t="str">
        <f t="shared" si="35"/>
        <v/>
      </c>
      <c r="AF175" s="475">
        <f t="shared" si="40"/>
        <v>0</v>
      </c>
    </row>
    <row r="176" spans="1:32" ht="15" customHeight="1" thickTop="1">
      <c r="A176" s="696"/>
      <c r="B176" s="700" t="str">
        <f>CONCATENATE("Ramal 14 - Derivando no ponto ",C176)</f>
        <v xml:space="preserve">Ramal 14 - Derivando no ponto </v>
      </c>
      <c r="C176" s="532"/>
      <c r="D176" s="536"/>
      <c r="E176" s="537"/>
      <c r="F176" s="538" t="str">
        <f t="shared" si="34"/>
        <v/>
      </c>
      <c r="G176" s="539"/>
      <c r="H176" s="209" t="str">
        <f>IF(AND(E176="",G176=""),"",SUM(F176:G185))</f>
        <v/>
      </c>
      <c r="I176" s="210"/>
      <c r="J176" s="535"/>
      <c r="K176" s="535"/>
      <c r="L176" s="211" t="str">
        <f>IF(J176="Duplex",VLOOKUP(M176,'Características dos Cabos M EX'!$C$12:$I$14,7),(IF(J176="Triplex",VLOOKUP(M176,'Características dos Cabos M EX'!$C$15:$J$20,8),(IF(J176="Quadruplex",VLOOKUP(M176,'Características dos Cabos M EX'!$C$21:$K$27,9),(IF(J176="13",VLOOKUP(M176,'Características dos Cabos M EX'!$C$15:$L$20,10),"")))))))</f>
        <v/>
      </c>
      <c r="M176" s="354" t="str">
        <f t="shared" si="36"/>
        <v/>
      </c>
      <c r="N176" s="540"/>
      <c r="O176" s="212" t="str">
        <f t="shared" si="41"/>
        <v/>
      </c>
      <c r="P176" s="212" t="str">
        <f>IF(O176="","",O176+VLOOKUP(C176,$D$21:$Q$175,13,FALSE))</f>
        <v/>
      </c>
      <c r="Q176" s="212" t="str">
        <f t="shared" si="37"/>
        <v/>
      </c>
      <c r="R176" s="213" t="str">
        <f>IF(J176="Duplex",VLOOKUP(M176,'Características dos Cabos MX CH'!$C$12:$I$14,5),(IF(J176="Triplex",VLOOKUP(M176,'Características dos Cabos MX CH'!$C$15:$J$20,5),(IF(J176="Quadruplex",VLOOKUP(M176,'Características dos Cabos MX CH'!$C$21:$K$27,5),(IF(J176="13",VLOOKUP(M176,'Características dos Cabos MX CH'!$C$15:$L$20,5),"")))))))</f>
        <v/>
      </c>
      <c r="S176" s="213" t="str">
        <f>IF(J176="Duplex",VLOOKUP(M176,'Características dos Cabos MX CH'!$C$12:$I$14,6),(IF(J176="Triplex",VLOOKUP(M176,'Características dos Cabos MX CH'!$C$15:$J$20,6),(IF(J176="Quadruplex",VLOOKUP(M176,'Características dos Cabos MX CH'!$C$21:$K$27,6),(IF(J176="13",VLOOKUP(M176,'Características dos Cabos MX CH'!$C$15:$L$20,6),"")))))))</f>
        <v/>
      </c>
      <c r="T176" s="214" t="str">
        <f t="shared" si="39"/>
        <v/>
      </c>
      <c r="U176" s="450" t="str">
        <f>IF(J176="Duplex",VLOOKUP(M176,'Características dos Cabos MX CH'!$C$12:$I$14,2),(IF(J176="Triplex",VLOOKUP(M176,'Características dos Cabos MX CH'!$C$15:$J$20,2),(IF(J176="Quadruplex",VLOOKUP(M176,'Características dos Cabos MX CH'!$C$21:$K$27,2),(IF(J176="13",VLOOKUP(M176,'Características dos Cabos MX CH'!$C$15:$L$20,2),"")))))))</f>
        <v/>
      </c>
      <c r="V176" s="213" t="str">
        <f>IF(J176="Duplex",VLOOKUP(M176,'Características dos Cabos MX CH'!$C$12:$I$14,3),(IF(J176="Triplex",VLOOKUP(M176,'Características dos Cabos MX CH'!$C$15:$J$20,3),(IF(J176="Quadruplex",VLOOKUP(M176,'Características dos Cabos MX CH'!$C$21:$K$27,3),(IF(J176="13",VLOOKUP(M176,'Características dos Cabos MX CH'!$C$15:$L$20,3),"")))))))</f>
        <v/>
      </c>
      <c r="W176" s="215" t="str">
        <f t="shared" si="42"/>
        <v/>
      </c>
      <c r="X176" s="215" t="str">
        <f t="shared" si="43"/>
        <v/>
      </c>
      <c r="Y176" s="216" t="str">
        <f t="shared" si="44"/>
        <v/>
      </c>
      <c r="Z176" s="463" t="str">
        <f>IF(O176="","",O176+VLOOKUP(C176,$D$20:$P$175,13,FALSE))</f>
        <v/>
      </c>
      <c r="AA176" s="488">
        <f t="shared" si="33"/>
        <v>0</v>
      </c>
      <c r="AB176" s="488">
        <f t="shared" si="38"/>
        <v>0</v>
      </c>
      <c r="AC176" s="485"/>
      <c r="AE176" s="492" t="str">
        <f t="shared" si="35"/>
        <v/>
      </c>
      <c r="AF176" s="475">
        <f t="shared" si="40"/>
        <v>0</v>
      </c>
    </row>
    <row r="177" spans="1:32" ht="15" customHeight="1">
      <c r="A177" s="696"/>
      <c r="B177" s="698"/>
      <c r="C177" s="517"/>
      <c r="D177" s="520"/>
      <c r="E177" s="522"/>
      <c r="F177" s="521" t="str">
        <f t="shared" si="34"/>
        <v/>
      </c>
      <c r="G177" s="518"/>
      <c r="H177" s="190" t="str">
        <f>IF(AND(E177="",G177=""),"",SUM(F177:G185))</f>
        <v/>
      </c>
      <c r="I177" s="191"/>
      <c r="J177" s="514"/>
      <c r="K177" s="514"/>
      <c r="L177" s="197" t="str">
        <f>IF(J177="Duplex",VLOOKUP(M177,'Características dos Cabos M EX'!$C$12:$I$14,7),(IF(J177="Triplex",VLOOKUP(M177,'Características dos Cabos M EX'!$C$15:$J$20,8),(IF(J177="Quadruplex",VLOOKUP(M177,'Características dos Cabos M EX'!$C$21:$K$27,9),(IF(J177="13",VLOOKUP(M177,'Características dos Cabos M EX'!$C$15:$L$20,10),"")))))))</f>
        <v/>
      </c>
      <c r="M177" s="350" t="str">
        <f t="shared" si="36"/>
        <v/>
      </c>
      <c r="N177" s="519"/>
      <c r="O177" s="192" t="str">
        <f t="shared" si="41"/>
        <v/>
      </c>
      <c r="P177" s="192" t="str">
        <f>IF(O177="","",SUM($O$176:O177)+$Z$176)</f>
        <v/>
      </c>
      <c r="Q177" s="192" t="str">
        <f t="shared" si="37"/>
        <v/>
      </c>
      <c r="R177" s="193" t="str">
        <f>IF(J177="Duplex",VLOOKUP(M177,'Características dos Cabos MX CH'!$C$12:$I$14,5),(IF(J177="Triplex",VLOOKUP(M177,'Características dos Cabos MX CH'!$C$15:$J$20,5),(IF(J177="Quadruplex",VLOOKUP(M177,'Características dos Cabos MX CH'!$C$21:$K$27,5),(IF(J177="13",VLOOKUP(M177,'Características dos Cabos MX CH'!$C$15:$L$20,5),"")))))))</f>
        <v/>
      </c>
      <c r="S177" s="193" t="str">
        <f>IF(J177="Duplex",VLOOKUP(M177,'Características dos Cabos MX CH'!$C$12:$I$14,6),(IF(J177="Triplex",VLOOKUP(M177,'Características dos Cabos MX CH'!$C$15:$J$20,6),(IF(J177="Quadruplex",VLOOKUP(M177,'Características dos Cabos MX CH'!$C$21:$K$27,6),(IF(J177="13",VLOOKUP(M177,'Características dos Cabos MX CH'!$C$15:$L$20,6),"")))))))</f>
        <v/>
      </c>
      <c r="T177" s="194" t="str">
        <f t="shared" si="39"/>
        <v/>
      </c>
      <c r="U177" s="447" t="str">
        <f>IF(J177="Duplex",VLOOKUP(M177,'Características dos Cabos MX CH'!$C$12:$I$14,2),(IF(J177="Triplex",VLOOKUP(M177,'Características dos Cabos MX CH'!$C$15:$J$20,2),(IF(J177="Quadruplex",VLOOKUP(M177,'Características dos Cabos MX CH'!$C$21:$K$27,2),(IF(J177="13",VLOOKUP(M177,'Características dos Cabos MX CH'!$C$15:$L$20,2),"")))))))</f>
        <v/>
      </c>
      <c r="V177" s="193" t="str">
        <f>IF(J177="Duplex",VLOOKUP(M177,'Características dos Cabos MX CH'!$C$12:$I$14,3),(IF(J177="Triplex",VLOOKUP(M177,'Características dos Cabos MX CH'!$C$15:$J$20,3),(IF(J177="Quadruplex",VLOOKUP(M177,'Características dos Cabos MX CH'!$C$21:$K$27,3),(IF(J177="13",VLOOKUP(M177,'Características dos Cabos MX CH'!$C$15:$L$20,3),"")))))))</f>
        <v/>
      </c>
      <c r="W177" s="195" t="str">
        <f t="shared" si="42"/>
        <v/>
      </c>
      <c r="X177" s="195" t="str">
        <f t="shared" si="43"/>
        <v/>
      </c>
      <c r="Y177" s="196" t="str">
        <f t="shared" si="44"/>
        <v/>
      </c>
      <c r="AA177" s="488">
        <f t="shared" si="33"/>
        <v>0</v>
      </c>
      <c r="AB177" s="488">
        <f t="shared" si="38"/>
        <v>0</v>
      </c>
      <c r="AC177" s="485"/>
      <c r="AE177" s="492" t="str">
        <f t="shared" si="35"/>
        <v/>
      </c>
      <c r="AF177" s="475">
        <f t="shared" si="40"/>
        <v>0</v>
      </c>
    </row>
    <row r="178" spans="1:32" ht="15" customHeight="1">
      <c r="A178" s="696"/>
      <c r="B178" s="698"/>
      <c r="C178" s="517"/>
      <c r="D178" s="520"/>
      <c r="E178" s="522"/>
      <c r="F178" s="521" t="str">
        <f t="shared" si="34"/>
        <v/>
      </c>
      <c r="G178" s="518"/>
      <c r="H178" s="190" t="str">
        <f>IF(AND(E178="",G178=""),"",SUM(F178:G185))</f>
        <v/>
      </c>
      <c r="I178" s="191"/>
      <c r="J178" s="514"/>
      <c r="K178" s="514"/>
      <c r="L178" s="197" t="str">
        <f>IF(J178="Duplex",VLOOKUP(M178,'Características dos Cabos M EX'!$C$12:$I$14,7),(IF(J178="Triplex",VLOOKUP(M178,'Características dos Cabos M EX'!$C$15:$J$20,8),(IF(J178="Quadruplex",VLOOKUP(M178,'Características dos Cabos M EX'!$C$21:$K$27,9),(IF(J178="13",VLOOKUP(M178,'Características dos Cabos M EX'!$C$15:$L$20,10),"")))))))</f>
        <v/>
      </c>
      <c r="M178" s="350" t="str">
        <f t="shared" si="36"/>
        <v/>
      </c>
      <c r="N178" s="519"/>
      <c r="O178" s="192" t="str">
        <f t="shared" si="41"/>
        <v/>
      </c>
      <c r="P178" s="192" t="str">
        <f>IF(O178="","",SUM($O$176:O178)+$Z$176)</f>
        <v/>
      </c>
      <c r="Q178" s="192" t="str">
        <f t="shared" si="37"/>
        <v/>
      </c>
      <c r="R178" s="193" t="str">
        <f>IF(J178="Duplex",VLOOKUP(M178,'Características dos Cabos MX CH'!$C$12:$I$14,5),(IF(J178="Triplex",VLOOKUP(M178,'Características dos Cabos MX CH'!$C$15:$J$20,5),(IF(J178="Quadruplex",VLOOKUP(M178,'Características dos Cabos MX CH'!$C$21:$K$27,5),(IF(J178="13",VLOOKUP(M178,'Características dos Cabos MX CH'!$C$15:$L$20,5),"")))))))</f>
        <v/>
      </c>
      <c r="S178" s="193" t="str">
        <f>IF(J178="Duplex",VLOOKUP(M178,'Características dos Cabos MX CH'!$C$12:$I$14,6),(IF(J178="Triplex",VLOOKUP(M178,'Características dos Cabos MX CH'!$C$15:$J$20,6),(IF(J178="Quadruplex",VLOOKUP(M178,'Características dos Cabos MX CH'!$C$21:$K$27,6),(IF(J178="13",VLOOKUP(M178,'Características dos Cabos MX CH'!$C$15:$L$20,6),"")))))))</f>
        <v/>
      </c>
      <c r="T178" s="194" t="str">
        <f t="shared" si="39"/>
        <v/>
      </c>
      <c r="U178" s="447" t="str">
        <f>IF(J178="Duplex",VLOOKUP(M178,'Características dos Cabos MX CH'!$C$12:$I$14,2),(IF(J178="Triplex",VLOOKUP(M178,'Características dos Cabos MX CH'!$C$15:$J$20,2),(IF(J178="Quadruplex",VLOOKUP(M178,'Características dos Cabos MX CH'!$C$21:$K$27,2),(IF(J178="13",VLOOKUP(M178,'Características dos Cabos MX CH'!$C$15:$L$20,2),"")))))))</f>
        <v/>
      </c>
      <c r="V178" s="193" t="str">
        <f>IF(J178="Duplex",VLOOKUP(M178,'Características dos Cabos MX CH'!$C$12:$I$14,3),(IF(J178="Triplex",VLOOKUP(M178,'Características dos Cabos MX CH'!$C$15:$J$20,3),(IF(J178="Quadruplex",VLOOKUP(M178,'Características dos Cabos MX CH'!$C$21:$K$27,3),(IF(J178="13",VLOOKUP(M178,'Características dos Cabos MX CH'!$C$15:$L$20,3),"")))))))</f>
        <v/>
      </c>
      <c r="W178" s="195" t="str">
        <f t="shared" si="42"/>
        <v/>
      </c>
      <c r="X178" s="195" t="str">
        <f t="shared" si="43"/>
        <v/>
      </c>
      <c r="Y178" s="196" t="str">
        <f t="shared" si="44"/>
        <v/>
      </c>
      <c r="AA178" s="488">
        <f t="shared" si="45" ref="AA178:AA195">D178</f>
        <v>0</v>
      </c>
      <c r="AB178" s="488">
        <f t="shared" si="38"/>
        <v>0</v>
      </c>
      <c r="AC178" s="485"/>
      <c r="AE178" s="492" t="str">
        <f t="shared" si="35"/>
        <v/>
      </c>
      <c r="AF178" s="475">
        <f t="shared" si="40"/>
        <v>0</v>
      </c>
    </row>
    <row r="179" spans="1:32" ht="15" customHeight="1">
      <c r="A179" s="696"/>
      <c r="B179" s="698"/>
      <c r="C179" s="517"/>
      <c r="D179" s="520"/>
      <c r="E179" s="522"/>
      <c r="F179" s="521" t="str">
        <f t="shared" si="34"/>
        <v/>
      </c>
      <c r="G179" s="518"/>
      <c r="H179" s="190" t="str">
        <f>IF(AND(E179="",G179=""),"",SUM(F179:G185))</f>
        <v/>
      </c>
      <c r="I179" s="191"/>
      <c r="J179" s="514"/>
      <c r="K179" s="514"/>
      <c r="L179" s="197" t="str">
        <f>IF(J179="Duplex",VLOOKUP(M179,'Características dos Cabos M EX'!$C$12:$I$14,7),(IF(J179="Triplex",VLOOKUP(M179,'Características dos Cabos M EX'!$C$15:$J$20,8),(IF(J179="Quadruplex",VLOOKUP(M179,'Características dos Cabos M EX'!$C$21:$K$27,9),(IF(J179="13",VLOOKUP(M179,'Características dos Cabos M EX'!$C$15:$L$20,10),"")))))))</f>
        <v/>
      </c>
      <c r="M179" s="350" t="str">
        <f t="shared" si="36"/>
        <v/>
      </c>
      <c r="N179" s="519"/>
      <c r="O179" s="192" t="str">
        <f t="shared" si="41"/>
        <v/>
      </c>
      <c r="P179" s="192" t="str">
        <f>IF(O179="","",SUM($O$176:O179)+$Z$176)</f>
        <v/>
      </c>
      <c r="Q179" s="192" t="str">
        <f t="shared" si="37"/>
        <v/>
      </c>
      <c r="R179" s="193" t="str">
        <f>IF(J179="Duplex",VLOOKUP(M179,'Características dos Cabos MX CH'!$C$12:$I$14,5),(IF(J179="Triplex",VLOOKUP(M179,'Características dos Cabos MX CH'!$C$15:$J$20,5),(IF(J179="Quadruplex",VLOOKUP(M179,'Características dos Cabos MX CH'!$C$21:$K$27,5),(IF(J179="13",VLOOKUP(M179,'Características dos Cabos MX CH'!$C$15:$L$20,5),"")))))))</f>
        <v/>
      </c>
      <c r="S179" s="193" t="str">
        <f>IF(J179="Duplex",VLOOKUP(M179,'Características dos Cabos MX CH'!$C$12:$I$14,6),(IF(J179="Triplex",VLOOKUP(M179,'Características dos Cabos MX CH'!$C$15:$J$20,6),(IF(J179="Quadruplex",VLOOKUP(M179,'Características dos Cabos MX CH'!$C$21:$K$27,6),(IF(J179="13",VLOOKUP(M179,'Características dos Cabos MX CH'!$C$15:$L$20,6),"")))))))</f>
        <v/>
      </c>
      <c r="T179" s="194" t="str">
        <f t="shared" si="39"/>
        <v/>
      </c>
      <c r="U179" s="447" t="str">
        <f>IF(J179="Duplex",VLOOKUP(M179,'Características dos Cabos MX CH'!$C$12:$I$14,2),(IF(J179="Triplex",VLOOKUP(M179,'Características dos Cabos MX CH'!$C$15:$J$20,2),(IF(J179="Quadruplex",VLOOKUP(M179,'Características dos Cabos MX CH'!$C$21:$K$27,2),(IF(J179="13",VLOOKUP(M179,'Características dos Cabos MX CH'!$C$15:$L$20,2),"")))))))</f>
        <v/>
      </c>
      <c r="V179" s="193" t="str">
        <f>IF(J179="Duplex",VLOOKUP(M179,'Características dos Cabos MX CH'!$C$12:$I$14,3),(IF(J179="Triplex",VLOOKUP(M179,'Características dos Cabos MX CH'!$C$15:$J$20,3),(IF(J179="Quadruplex",VLOOKUP(M179,'Características dos Cabos MX CH'!$C$21:$K$27,3),(IF(J179="13",VLOOKUP(M179,'Características dos Cabos MX CH'!$C$15:$L$20,3),"")))))))</f>
        <v/>
      </c>
      <c r="W179" s="195" t="str">
        <f t="shared" si="42"/>
        <v/>
      </c>
      <c r="X179" s="195" t="str">
        <f t="shared" si="43"/>
        <v/>
      </c>
      <c r="Y179" s="196" t="str">
        <f t="shared" si="44"/>
        <v/>
      </c>
      <c r="AA179" s="488">
        <f t="shared" si="45"/>
        <v>0</v>
      </c>
      <c r="AB179" s="488">
        <f t="shared" si="38"/>
        <v>0</v>
      </c>
      <c r="AC179" s="485"/>
      <c r="AE179" s="492" t="str">
        <f t="shared" si="35"/>
        <v/>
      </c>
      <c r="AF179" s="475">
        <f t="shared" si="40"/>
        <v>0</v>
      </c>
    </row>
    <row r="180" spans="1:32" ht="15" customHeight="1">
      <c r="A180" s="696"/>
      <c r="B180" s="698"/>
      <c r="C180" s="517"/>
      <c r="D180" s="520"/>
      <c r="E180" s="522"/>
      <c r="F180" s="521" t="str">
        <f t="shared" si="34"/>
        <v/>
      </c>
      <c r="G180" s="518"/>
      <c r="H180" s="190" t="str">
        <f>IF(AND(E180="",G180=""),"",SUM(F180:G185))</f>
        <v/>
      </c>
      <c r="I180" s="191"/>
      <c r="J180" s="514"/>
      <c r="K180" s="514"/>
      <c r="L180" s="197" t="str">
        <f>IF(J180="Duplex",VLOOKUP(M180,'Características dos Cabos M EX'!$C$12:$I$14,7),(IF(J180="Triplex",VLOOKUP(M180,'Características dos Cabos M EX'!$C$15:$J$20,8),(IF(J180="Quadruplex",VLOOKUP(M180,'Características dos Cabos M EX'!$C$21:$K$27,9),(IF(J180="13",VLOOKUP(M180,'Características dos Cabos M EX'!$C$15:$L$20,10),"")))))))</f>
        <v/>
      </c>
      <c r="M180" s="350" t="str">
        <f t="shared" si="36"/>
        <v/>
      </c>
      <c r="N180" s="519"/>
      <c r="O180" s="192" t="str">
        <f t="shared" si="41"/>
        <v/>
      </c>
      <c r="P180" s="192" t="str">
        <f>IF(O180="","",SUM($O$176:O180)+$Z$176)</f>
        <v/>
      </c>
      <c r="Q180" s="192" t="str">
        <f t="shared" si="37"/>
        <v/>
      </c>
      <c r="R180" s="193" t="str">
        <f>IF(J180="Duplex",VLOOKUP(M180,'Características dos Cabos MX CH'!$C$12:$I$14,5),(IF(J180="Triplex",VLOOKUP(M180,'Características dos Cabos MX CH'!$C$15:$J$20,5),(IF(J180="Quadruplex",VLOOKUP(M180,'Características dos Cabos MX CH'!$C$21:$K$27,5),(IF(J180="13",VLOOKUP(M180,'Características dos Cabos MX CH'!$C$15:$L$20,5),"")))))))</f>
        <v/>
      </c>
      <c r="S180" s="193" t="str">
        <f>IF(J180="Duplex",VLOOKUP(M180,'Características dos Cabos MX CH'!$C$12:$I$14,6),(IF(J180="Triplex",VLOOKUP(M180,'Características dos Cabos MX CH'!$C$15:$J$20,6),(IF(J180="Quadruplex",VLOOKUP(M180,'Características dos Cabos MX CH'!$C$21:$K$27,6),(IF(J180="13",VLOOKUP(M180,'Características dos Cabos MX CH'!$C$15:$L$20,6),"")))))))</f>
        <v/>
      </c>
      <c r="T180" s="194" t="str">
        <f t="shared" si="39"/>
        <v/>
      </c>
      <c r="U180" s="447" t="str">
        <f>IF(J180="Duplex",VLOOKUP(M180,'Características dos Cabos MX CH'!$C$12:$I$14,2),(IF(J180="Triplex",VLOOKUP(M180,'Características dos Cabos MX CH'!$C$15:$J$20,2),(IF(J180="Quadruplex",VLOOKUP(M180,'Características dos Cabos MX CH'!$C$21:$K$27,2),(IF(J180="13",VLOOKUP(M180,'Características dos Cabos MX CH'!$C$15:$L$20,2),"")))))))</f>
        <v/>
      </c>
      <c r="V180" s="193" t="str">
        <f>IF(J180="Duplex",VLOOKUP(M180,'Características dos Cabos MX CH'!$C$12:$I$14,3),(IF(J180="Triplex",VLOOKUP(M180,'Características dos Cabos MX CH'!$C$15:$J$20,3),(IF(J180="Quadruplex",VLOOKUP(M180,'Características dos Cabos MX CH'!$C$21:$K$27,3),(IF(J180="13",VLOOKUP(M180,'Características dos Cabos MX CH'!$C$15:$L$20,3),"")))))))</f>
        <v/>
      </c>
      <c r="W180" s="195" t="str">
        <f t="shared" si="42"/>
        <v/>
      </c>
      <c r="X180" s="195" t="str">
        <f t="shared" si="43"/>
        <v/>
      </c>
      <c r="Y180" s="196" t="str">
        <f t="shared" si="44"/>
        <v/>
      </c>
      <c r="AA180" s="488">
        <f t="shared" si="45"/>
        <v>0</v>
      </c>
      <c r="AB180" s="488">
        <f t="shared" si="38"/>
        <v>0</v>
      </c>
      <c r="AC180" s="485"/>
      <c r="AE180" s="492" t="str">
        <f t="shared" si="35"/>
        <v/>
      </c>
      <c r="AF180" s="475">
        <f t="shared" si="40"/>
        <v>0</v>
      </c>
    </row>
    <row r="181" spans="1:32" ht="15" customHeight="1">
      <c r="A181" s="696"/>
      <c r="B181" s="698"/>
      <c r="C181" s="517"/>
      <c r="D181" s="520"/>
      <c r="E181" s="522"/>
      <c r="F181" s="521" t="str">
        <f t="shared" si="46" ref="F181:F195">IF(OR(E181="",$G$11=""),"",E181*$G$11*($J$11/100+1)^($J$15-1))</f>
        <v/>
      </c>
      <c r="G181" s="518"/>
      <c r="H181" s="190" t="str">
        <f>IF(AND(E181="",G181=""),"",SUM(F181:G185))</f>
        <v/>
      </c>
      <c r="I181" s="191"/>
      <c r="J181" s="514"/>
      <c r="K181" s="514"/>
      <c r="L181" s="197" t="str">
        <f>IF(J181="Duplex",VLOOKUP(M181,'Características dos Cabos M EX'!$C$12:$I$14,7),(IF(J181="Triplex",VLOOKUP(M181,'Características dos Cabos M EX'!$C$15:$J$20,8),(IF(J181="Quadruplex",VLOOKUP(M181,'Características dos Cabos M EX'!$C$21:$K$27,9),(IF(J181="13",VLOOKUP(M181,'Características dos Cabos M EX'!$C$15:$L$20,10),"")))))))</f>
        <v/>
      </c>
      <c r="M181" s="350" t="str">
        <f t="shared" si="36"/>
        <v/>
      </c>
      <c r="N181" s="519"/>
      <c r="O181" s="192" t="str">
        <f t="shared" si="41"/>
        <v/>
      </c>
      <c r="P181" s="192" t="str">
        <f>IF(O181="","",SUM($O$176:O181)+$Z$176)</f>
        <v/>
      </c>
      <c r="Q181" s="192" t="str">
        <f t="shared" si="37"/>
        <v/>
      </c>
      <c r="R181" s="193" t="str">
        <f>IF(J181="Duplex",VLOOKUP(M181,'Características dos Cabos MX CH'!$C$12:$I$14,5),(IF(J181="Triplex",VLOOKUP(M181,'Características dos Cabos MX CH'!$C$15:$J$20,5),(IF(J181="Quadruplex",VLOOKUP(M181,'Características dos Cabos MX CH'!$C$21:$K$27,5),(IF(J181="13",VLOOKUP(M181,'Características dos Cabos MX CH'!$C$15:$L$20,5),"")))))))</f>
        <v/>
      </c>
      <c r="S181" s="193" t="str">
        <f>IF(J181="Duplex",VLOOKUP(M181,'Características dos Cabos MX CH'!$C$12:$I$14,6),(IF(J181="Triplex",VLOOKUP(M181,'Características dos Cabos MX CH'!$C$15:$J$20,6),(IF(J181="Quadruplex",VLOOKUP(M181,'Características dos Cabos MX CH'!$C$21:$K$27,6),(IF(J181="13",VLOOKUP(M181,'Características dos Cabos MX CH'!$C$15:$L$20,6),"")))))))</f>
        <v/>
      </c>
      <c r="T181" s="194" t="str">
        <f t="shared" si="39"/>
        <v/>
      </c>
      <c r="U181" s="447" t="str">
        <f>IF(J181="Duplex",VLOOKUP(M181,'Características dos Cabos MX CH'!$C$12:$I$14,2),(IF(J181="Triplex",VLOOKUP(M181,'Características dos Cabos MX CH'!$C$15:$J$20,2),(IF(J181="Quadruplex",VLOOKUP(M181,'Características dos Cabos MX CH'!$C$21:$K$27,2),(IF(J181="13",VLOOKUP(M181,'Características dos Cabos MX CH'!$C$15:$L$20,2),"")))))))</f>
        <v/>
      </c>
      <c r="V181" s="193" t="str">
        <f>IF(J181="Duplex",VLOOKUP(M181,'Características dos Cabos MX CH'!$C$12:$I$14,3),(IF(J181="Triplex",VLOOKUP(M181,'Características dos Cabos MX CH'!$C$15:$J$20,3),(IF(J181="Quadruplex",VLOOKUP(M181,'Características dos Cabos MX CH'!$C$21:$K$27,3),(IF(J181="13",VLOOKUP(M181,'Características dos Cabos MX CH'!$C$15:$L$20,3),"")))))))</f>
        <v/>
      </c>
      <c r="W181" s="195" t="str">
        <f t="shared" si="42"/>
        <v/>
      </c>
      <c r="X181" s="195" t="str">
        <f t="shared" si="43"/>
        <v/>
      </c>
      <c r="Y181" s="196" t="str">
        <f t="shared" si="44"/>
        <v/>
      </c>
      <c r="AA181" s="488">
        <f t="shared" si="45"/>
        <v>0</v>
      </c>
      <c r="AB181" s="488">
        <f t="shared" si="38"/>
        <v>0</v>
      </c>
      <c r="AC181" s="485"/>
      <c r="AE181" s="492" t="str">
        <f t="shared" si="35"/>
        <v/>
      </c>
      <c r="AF181" s="475">
        <f t="shared" si="40"/>
        <v>0</v>
      </c>
    </row>
    <row r="182" spans="1:32" ht="15" customHeight="1">
      <c r="A182" s="696"/>
      <c r="B182" s="698"/>
      <c r="C182" s="517"/>
      <c r="D182" s="520"/>
      <c r="E182" s="522"/>
      <c r="F182" s="521" t="str">
        <f t="shared" si="46"/>
        <v/>
      </c>
      <c r="G182" s="518"/>
      <c r="H182" s="190" t="str">
        <f>IF(AND(E182="",G182=""),"",SUM(F182:G185))</f>
        <v/>
      </c>
      <c r="I182" s="191"/>
      <c r="J182" s="514"/>
      <c r="K182" s="514"/>
      <c r="L182" s="197" t="str">
        <f>IF(J182="Duplex",VLOOKUP(M182,'Características dos Cabos M EX'!$C$12:$I$14,7),(IF(J182="Triplex",VLOOKUP(M182,'Características dos Cabos M EX'!$C$15:$J$20,8),(IF(J182="Quadruplex",VLOOKUP(M182,'Características dos Cabos M EX'!$C$21:$K$27,9),(IF(J182="13",VLOOKUP(M182,'Características dos Cabos M EX'!$C$15:$L$20,10),"")))))))</f>
        <v/>
      </c>
      <c r="M182" s="350" t="str">
        <f t="shared" si="36"/>
        <v/>
      </c>
      <c r="N182" s="519"/>
      <c r="O182" s="192" t="str">
        <f t="shared" si="41"/>
        <v/>
      </c>
      <c r="P182" s="192" t="str">
        <f>IF(O182="","",SUM($O$176:O182)+$Z$176)</f>
        <v/>
      </c>
      <c r="Q182" s="192" t="str">
        <f t="shared" si="37"/>
        <v/>
      </c>
      <c r="R182" s="193" t="str">
        <f>IF(J182="Duplex",VLOOKUP(M182,'Características dos Cabos MX CH'!$C$12:$I$14,5),(IF(J182="Triplex",VLOOKUP(M182,'Características dos Cabos MX CH'!$C$15:$J$20,5),(IF(J182="Quadruplex",VLOOKUP(M182,'Características dos Cabos MX CH'!$C$21:$K$27,5),(IF(J182="13",VLOOKUP(M182,'Características dos Cabos MX CH'!$C$15:$L$20,5),"")))))))</f>
        <v/>
      </c>
      <c r="S182" s="193" t="str">
        <f>IF(J182="Duplex",VLOOKUP(M182,'Características dos Cabos MX CH'!$C$12:$I$14,6),(IF(J182="Triplex",VLOOKUP(M182,'Características dos Cabos MX CH'!$C$15:$J$20,6),(IF(J182="Quadruplex",VLOOKUP(M182,'Características dos Cabos MX CH'!$C$21:$K$27,6),(IF(J182="13",VLOOKUP(M182,'Características dos Cabos MX CH'!$C$15:$L$20,6),"")))))))</f>
        <v/>
      </c>
      <c r="T182" s="194" t="str">
        <f t="shared" si="39"/>
        <v/>
      </c>
      <c r="U182" s="447" t="str">
        <f>IF(J182="Duplex",VLOOKUP(M182,'Características dos Cabos MX CH'!$C$12:$I$14,2),(IF(J182="Triplex",VLOOKUP(M182,'Características dos Cabos MX CH'!$C$15:$J$20,2),(IF(J182="Quadruplex",VLOOKUP(M182,'Características dos Cabos MX CH'!$C$21:$K$27,2),(IF(J182="13",VLOOKUP(M182,'Características dos Cabos MX CH'!$C$15:$L$20,2),"")))))))</f>
        <v/>
      </c>
      <c r="V182" s="193" t="str">
        <f>IF(J182="Duplex",VLOOKUP(M182,'Características dos Cabos MX CH'!$C$12:$I$14,3),(IF(J182="Triplex",VLOOKUP(M182,'Características dos Cabos MX CH'!$C$15:$J$20,3),(IF(J182="Quadruplex",VLOOKUP(M182,'Características dos Cabos MX CH'!$C$21:$K$27,3),(IF(J182="13",VLOOKUP(M182,'Características dos Cabos MX CH'!$C$15:$L$20,3),"")))))))</f>
        <v/>
      </c>
      <c r="W182" s="195" t="str">
        <f t="shared" si="42"/>
        <v/>
      </c>
      <c r="X182" s="195" t="str">
        <f t="shared" si="43"/>
        <v/>
      </c>
      <c r="Y182" s="196" t="str">
        <f t="shared" si="44"/>
        <v/>
      </c>
      <c r="AA182" s="488">
        <f t="shared" si="45"/>
        <v>0</v>
      </c>
      <c r="AB182" s="488">
        <f t="shared" si="38"/>
        <v>0</v>
      </c>
      <c r="AC182" s="485"/>
      <c r="AE182" s="492" t="str">
        <f t="shared" si="35"/>
        <v/>
      </c>
      <c r="AF182" s="475">
        <f t="shared" si="40"/>
        <v>0</v>
      </c>
    </row>
    <row r="183" spans="1:32" ht="15" customHeight="1">
      <c r="A183" s="696"/>
      <c r="B183" s="698"/>
      <c r="C183" s="517"/>
      <c r="D183" s="520"/>
      <c r="E183" s="522"/>
      <c r="F183" s="521" t="str">
        <f t="shared" si="46"/>
        <v/>
      </c>
      <c r="G183" s="518"/>
      <c r="H183" s="190" t="str">
        <f>IF(AND(E183="",G183=""),"",SUM(F183:G185))</f>
        <v/>
      </c>
      <c r="I183" s="191"/>
      <c r="J183" s="514"/>
      <c r="K183" s="514"/>
      <c r="L183" s="197" t="str">
        <f>IF(J183="Duplex",VLOOKUP(M183,'Características dos Cabos M EX'!$C$12:$I$14,7),(IF(J183="Triplex",VLOOKUP(M183,'Características dos Cabos M EX'!$C$15:$J$20,8),(IF(J183="Quadruplex",VLOOKUP(M183,'Características dos Cabos M EX'!$C$21:$K$27,9),(IF(J183="13",VLOOKUP(M183,'Características dos Cabos M EX'!$C$15:$L$20,10),"")))))))</f>
        <v/>
      </c>
      <c r="M183" s="350" t="str">
        <f t="shared" si="36"/>
        <v/>
      </c>
      <c r="N183" s="519"/>
      <c r="O183" s="192" t="str">
        <f t="shared" si="41"/>
        <v/>
      </c>
      <c r="P183" s="192" t="str">
        <f>IF(O183="","",SUM($O$176:O183)+$Z$176)</f>
        <v/>
      </c>
      <c r="Q183" s="192" t="str">
        <f t="shared" si="37"/>
        <v/>
      </c>
      <c r="R183" s="193" t="str">
        <f>IF(J183="Duplex",VLOOKUP(M183,'Características dos Cabos MX CH'!$C$12:$I$14,5),(IF(J183="Triplex",VLOOKUP(M183,'Características dos Cabos MX CH'!$C$15:$J$20,5),(IF(J183="Quadruplex",VLOOKUP(M183,'Características dos Cabos MX CH'!$C$21:$K$27,5),(IF(J183="13",VLOOKUP(M183,'Características dos Cabos MX CH'!$C$15:$L$20,5),"")))))))</f>
        <v/>
      </c>
      <c r="S183" s="193" t="str">
        <f>IF(J183="Duplex",VLOOKUP(M183,'Características dos Cabos MX CH'!$C$12:$I$14,6),(IF(J183="Triplex",VLOOKUP(M183,'Características dos Cabos MX CH'!$C$15:$J$20,6),(IF(J183="Quadruplex",VLOOKUP(M183,'Características dos Cabos MX CH'!$C$21:$K$27,6),(IF(J183="13",VLOOKUP(M183,'Características dos Cabos MX CH'!$C$15:$L$20,6),"")))))))</f>
        <v/>
      </c>
      <c r="T183" s="194" t="str">
        <f t="shared" si="39"/>
        <v/>
      </c>
      <c r="U183" s="447" t="str">
        <f>IF(J183="Duplex",VLOOKUP(M183,'Características dos Cabos MX CH'!$C$12:$I$14,2),(IF(J183="Triplex",VLOOKUP(M183,'Características dos Cabos MX CH'!$C$15:$J$20,2),(IF(J183="Quadruplex",VLOOKUP(M183,'Características dos Cabos MX CH'!$C$21:$K$27,2),(IF(J183="13",VLOOKUP(M183,'Características dos Cabos MX CH'!$C$15:$L$20,2),"")))))))</f>
        <v/>
      </c>
      <c r="V183" s="193" t="str">
        <f>IF(J183="Duplex",VLOOKUP(M183,'Características dos Cabos MX CH'!$C$12:$I$14,3),(IF(J183="Triplex",VLOOKUP(M183,'Características dos Cabos MX CH'!$C$15:$J$20,3),(IF(J183="Quadruplex",VLOOKUP(M183,'Características dos Cabos MX CH'!$C$21:$K$27,3),(IF(J183="13",VLOOKUP(M183,'Características dos Cabos MX CH'!$C$15:$L$20,3),"")))))))</f>
        <v/>
      </c>
      <c r="W183" s="195" t="str">
        <f t="shared" si="42"/>
        <v/>
      </c>
      <c r="X183" s="195" t="str">
        <f t="shared" si="43"/>
        <v/>
      </c>
      <c r="Y183" s="196" t="str">
        <f t="shared" si="44"/>
        <v/>
      </c>
      <c r="AA183" s="488">
        <f t="shared" si="45"/>
        <v>0</v>
      </c>
      <c r="AB183" s="488">
        <f t="shared" si="38"/>
        <v>0</v>
      </c>
      <c r="AC183" s="485"/>
      <c r="AE183" s="492" t="str">
        <f t="shared" si="35"/>
        <v/>
      </c>
      <c r="AF183" s="475">
        <f t="shared" si="40"/>
        <v>0</v>
      </c>
    </row>
    <row r="184" spans="1:32" ht="15" customHeight="1">
      <c r="A184" s="696"/>
      <c r="B184" s="698"/>
      <c r="C184" s="517"/>
      <c r="D184" s="520"/>
      <c r="E184" s="522"/>
      <c r="F184" s="521" t="str">
        <f t="shared" si="46"/>
        <v/>
      </c>
      <c r="G184" s="518"/>
      <c r="H184" s="190" t="str">
        <f>IF(AND(E184="",G184=""),"",SUM(F184:G185))</f>
        <v/>
      </c>
      <c r="I184" s="191"/>
      <c r="J184" s="514"/>
      <c r="K184" s="514"/>
      <c r="L184" s="197" t="str">
        <f>IF(J184="Duplex",VLOOKUP(M184,'Características dos Cabos M EX'!$C$12:$I$14,7),(IF(J184="Triplex",VLOOKUP(M184,'Características dos Cabos M EX'!$C$15:$J$20,8),(IF(J184="Quadruplex",VLOOKUP(M184,'Características dos Cabos M EX'!$C$21:$K$27,9),(IF(J184="13",VLOOKUP(M184,'Características dos Cabos M EX'!$C$15:$L$20,10),"")))))))</f>
        <v/>
      </c>
      <c r="M184" s="350" t="str">
        <f t="shared" si="36"/>
        <v/>
      </c>
      <c r="N184" s="519"/>
      <c r="O184" s="192" t="str">
        <f t="shared" si="41"/>
        <v/>
      </c>
      <c r="P184" s="192" t="str">
        <f>IF(O184="","",SUM($O$176:O184)+$Z$176)</f>
        <v/>
      </c>
      <c r="Q184" s="192" t="str">
        <f t="shared" si="37"/>
        <v/>
      </c>
      <c r="R184" s="193" t="str">
        <f>IF(J184="Duplex",VLOOKUP(M184,'Características dos Cabos MX CH'!$C$12:$I$14,5),(IF(J184="Triplex",VLOOKUP(M184,'Características dos Cabos MX CH'!$C$15:$J$20,5),(IF(J184="Quadruplex",VLOOKUP(M184,'Características dos Cabos MX CH'!$C$21:$K$27,5),(IF(J184="13",VLOOKUP(M184,'Características dos Cabos MX CH'!$C$15:$L$20,5),"")))))))</f>
        <v/>
      </c>
      <c r="S184" s="193" t="str">
        <f>IF(J184="Duplex",VLOOKUP(M184,'Características dos Cabos MX CH'!$C$12:$I$14,6),(IF(J184="Triplex",VLOOKUP(M184,'Características dos Cabos MX CH'!$C$15:$J$20,6),(IF(J184="Quadruplex",VLOOKUP(M184,'Características dos Cabos MX CH'!$C$21:$K$27,6),(IF(J184="13",VLOOKUP(M184,'Características dos Cabos MX CH'!$C$15:$L$20,6),"")))))))</f>
        <v/>
      </c>
      <c r="T184" s="194" t="str">
        <f t="shared" si="39"/>
        <v/>
      </c>
      <c r="U184" s="447" t="str">
        <f>IF(J184="Duplex",VLOOKUP(M184,'Características dos Cabos MX CH'!$C$12:$I$14,2),(IF(J184="Triplex",VLOOKUP(M184,'Características dos Cabos MX CH'!$C$15:$J$20,2),(IF(J184="Quadruplex",VLOOKUP(M184,'Características dos Cabos MX CH'!$C$21:$K$27,2),(IF(J184="13",VLOOKUP(M184,'Características dos Cabos MX CH'!$C$15:$L$20,2),"")))))))</f>
        <v/>
      </c>
      <c r="V184" s="193" t="str">
        <f>IF(J184="Duplex",VLOOKUP(M184,'Características dos Cabos MX CH'!$C$12:$I$14,3),(IF(J184="Triplex",VLOOKUP(M184,'Características dos Cabos MX CH'!$C$15:$J$20,3),(IF(J184="Quadruplex",VLOOKUP(M184,'Características dos Cabos MX CH'!$C$21:$K$27,3),(IF(J184="13",VLOOKUP(M184,'Características dos Cabos MX CH'!$C$15:$L$20,3),"")))))))</f>
        <v/>
      </c>
      <c r="W184" s="195" t="str">
        <f t="shared" si="42"/>
        <v/>
      </c>
      <c r="X184" s="195" t="str">
        <f t="shared" si="43"/>
        <v/>
      </c>
      <c r="Y184" s="196" t="str">
        <f t="shared" si="44"/>
        <v/>
      </c>
      <c r="AA184" s="488">
        <f t="shared" si="45"/>
        <v>0</v>
      </c>
      <c r="AB184" s="488">
        <f t="shared" si="38"/>
        <v>0</v>
      </c>
      <c r="AC184" s="485"/>
      <c r="AE184" s="492" t="str">
        <f t="shared" si="35"/>
        <v/>
      </c>
      <c r="AF184" s="475">
        <f t="shared" si="40"/>
        <v>0</v>
      </c>
    </row>
    <row r="185" spans="1:32" ht="15" customHeight="1" thickBot="1">
      <c r="A185" s="696"/>
      <c r="B185" s="699"/>
      <c r="C185" s="523"/>
      <c r="D185" s="524"/>
      <c r="E185" s="523"/>
      <c r="F185" s="526" t="str">
        <f t="shared" si="46"/>
        <v/>
      </c>
      <c r="G185" s="527"/>
      <c r="H185" s="200" t="str">
        <f>IF(AND(E185="",G185=""),"",SUM(F185:G185))</f>
        <v/>
      </c>
      <c r="I185" s="201"/>
      <c r="J185" s="528"/>
      <c r="K185" s="528"/>
      <c r="L185" s="202" t="str">
        <f>IF(J185="Duplex",VLOOKUP(M185,'Características dos Cabos M EX'!$C$12:$I$14,7),(IF(J185="Triplex",VLOOKUP(M185,'Características dos Cabos M EX'!$C$15:$J$20,8),(IF(J185="Quadruplex",VLOOKUP(M185,'Características dos Cabos M EX'!$C$21:$K$27,9),(IF(J185="13",VLOOKUP(M185,'Características dos Cabos M EX'!$C$15:$L$20,10),"")))))))</f>
        <v/>
      </c>
      <c r="M185" s="353" t="str">
        <f t="shared" si="36"/>
        <v/>
      </c>
      <c r="N185" s="529"/>
      <c r="O185" s="203" t="str">
        <f t="shared" si="41"/>
        <v/>
      </c>
      <c r="P185" s="203" t="str">
        <f>IF(O185="","",SUM($O$176:O185)+$Z$176)</f>
        <v/>
      </c>
      <c r="Q185" s="203" t="str">
        <f t="shared" si="37"/>
        <v/>
      </c>
      <c r="R185" s="204" t="str">
        <f>IF(J185="Duplex",VLOOKUP(M185,'Características dos Cabos MX CH'!$C$12:$I$14,5),(IF(J185="Triplex",VLOOKUP(M185,'Características dos Cabos MX CH'!$C$15:$J$20,5),(IF(J185="Quadruplex",VLOOKUP(M185,'Características dos Cabos MX CH'!$C$21:$K$27,5),(IF(J185="13",VLOOKUP(M185,'Características dos Cabos MX CH'!$C$15:$L$20,5),"")))))))</f>
        <v/>
      </c>
      <c r="S185" s="204" t="str">
        <f>IF(J185="Duplex",VLOOKUP(M185,'Características dos Cabos MX CH'!$C$12:$I$14,6),(IF(J185="Triplex",VLOOKUP(M185,'Características dos Cabos MX CH'!$C$15:$J$20,6),(IF(J185="Quadruplex",VLOOKUP(M185,'Características dos Cabos MX CH'!$C$21:$K$27,6),(IF(J185="13",VLOOKUP(M185,'Características dos Cabos MX CH'!$C$15:$L$20,6),"")))))))</f>
        <v/>
      </c>
      <c r="T185" s="205" t="str">
        <f t="shared" si="39"/>
        <v/>
      </c>
      <c r="U185" s="448" t="str">
        <f>IF(J185="Duplex",VLOOKUP(M185,'Características dos Cabos MX CH'!$C$12:$I$14,2),(IF(J185="Triplex",VLOOKUP(M185,'Características dos Cabos MX CH'!$C$15:$J$20,2),(IF(J185="Quadruplex",VLOOKUP(M185,'Características dos Cabos MX CH'!$C$21:$K$27,2),(IF(J185="13",VLOOKUP(M185,'Características dos Cabos MX CH'!$C$15:$L$20,2),"")))))))</f>
        <v/>
      </c>
      <c r="V185" s="204" t="str">
        <f>IF(J185="Duplex",VLOOKUP(M185,'Características dos Cabos MX CH'!$C$12:$I$14,3),(IF(J185="Triplex",VLOOKUP(M185,'Características dos Cabos MX CH'!$C$15:$J$20,3),(IF(J185="Quadruplex",VLOOKUP(M185,'Características dos Cabos MX CH'!$C$21:$K$27,3),(IF(J185="13",VLOOKUP(M185,'Características dos Cabos MX CH'!$C$15:$L$20,3),"")))))))</f>
        <v/>
      </c>
      <c r="W185" s="206" t="str">
        <f t="shared" si="42"/>
        <v/>
      </c>
      <c r="X185" s="206" t="str">
        <f t="shared" si="43"/>
        <v/>
      </c>
      <c r="Y185" s="207" t="str">
        <f t="shared" si="44"/>
        <v/>
      </c>
      <c r="AA185" s="488">
        <f t="shared" si="45"/>
        <v>0</v>
      </c>
      <c r="AB185" s="488">
        <f t="shared" si="38"/>
        <v>0</v>
      </c>
      <c r="AC185" s="485"/>
      <c r="AE185" s="492" t="str">
        <f t="shared" si="35"/>
        <v/>
      </c>
      <c r="AF185" s="475">
        <f t="shared" si="40"/>
        <v>0</v>
      </c>
    </row>
    <row r="186" spans="1:32" ht="15" customHeight="1" thickTop="1">
      <c r="A186" s="696"/>
      <c r="B186" s="700" t="str">
        <f>CONCATENATE("Ramal 15 - Derivando no ponto ",C186)</f>
        <v xml:space="preserve">Ramal 15 - Derivando no ponto </v>
      </c>
      <c r="C186" s="532"/>
      <c r="D186" s="536"/>
      <c r="E186" s="537"/>
      <c r="F186" s="538" t="str">
        <f t="shared" si="46"/>
        <v/>
      </c>
      <c r="G186" s="539"/>
      <c r="H186" s="209" t="str">
        <f>IF(AND(E186="",G186=""),"",SUM(F186:G195))</f>
        <v/>
      </c>
      <c r="I186" s="210"/>
      <c r="J186" s="535"/>
      <c r="K186" s="535"/>
      <c r="L186" s="211" t="str">
        <f>IF(J186="Duplex",VLOOKUP(M186,'Características dos Cabos M EX'!$C$12:$I$14,7),(IF(J186="Triplex",VLOOKUP(M186,'Características dos Cabos M EX'!$C$15:$J$20,8),(IF(J186="Quadruplex",VLOOKUP(M186,'Características dos Cabos M EX'!$C$21:$K$27,9),(IF(J186="13",VLOOKUP(M186,'Características dos Cabos M EX'!$C$15:$L$20,10),"")))))))</f>
        <v/>
      </c>
      <c r="M186" s="354" t="str">
        <f t="shared" si="36"/>
        <v/>
      </c>
      <c r="N186" s="540"/>
      <c r="O186" s="212" t="str">
        <f t="shared" si="41"/>
        <v/>
      </c>
      <c r="P186" s="212" t="str">
        <f>IF(O186="","",O186+VLOOKUP(C186,$D$21:$Q$185,13,FALSE))</f>
        <v/>
      </c>
      <c r="Q186" s="212" t="str">
        <f t="shared" si="37"/>
        <v/>
      </c>
      <c r="R186" s="213" t="str">
        <f>IF(J186="Duplex",VLOOKUP(M186,'Características dos Cabos MX CH'!$C$12:$I$14,5),(IF(J186="Triplex",VLOOKUP(M186,'Características dos Cabos MX CH'!$C$15:$J$20,5),(IF(J186="Quadruplex",VLOOKUP(M186,'Características dos Cabos MX CH'!$C$21:$K$27,5),(IF(J186="13",VLOOKUP(M186,'Características dos Cabos MX CH'!$C$15:$L$20,5),"")))))))</f>
        <v/>
      </c>
      <c r="S186" s="213" t="str">
        <f>IF(J186="Duplex",VLOOKUP(M186,'Características dos Cabos MX CH'!$C$12:$I$14,6),(IF(J186="Triplex",VLOOKUP(M186,'Características dos Cabos MX CH'!$C$15:$J$20,6),(IF(J186="Quadruplex",VLOOKUP(M186,'Características dos Cabos MX CH'!$C$21:$K$27,6),(IF(J186="13",VLOOKUP(M186,'Características dos Cabos MX CH'!$C$15:$L$20,6),"")))))))</f>
        <v/>
      </c>
      <c r="T186" s="214" t="str">
        <f t="shared" si="39"/>
        <v/>
      </c>
      <c r="U186" s="450" t="str">
        <f>IF(J186="Duplex",VLOOKUP(M186,'Características dos Cabos MX CH'!$C$12:$I$14,2),(IF(J186="Triplex",VLOOKUP(M186,'Características dos Cabos MX CH'!$C$15:$J$20,2),(IF(J186="Quadruplex",VLOOKUP(M186,'Características dos Cabos MX CH'!$C$21:$K$27,2),(IF(J186="13",VLOOKUP(M186,'Características dos Cabos MX CH'!$C$15:$L$20,2),"")))))))</f>
        <v/>
      </c>
      <c r="V186" s="213" t="str">
        <f>IF(J186="Duplex",VLOOKUP(M186,'Características dos Cabos MX CH'!$C$12:$I$14,3),(IF(J186="Triplex",VLOOKUP(M186,'Características dos Cabos MX CH'!$C$15:$J$20,3),(IF(J186="Quadruplex",VLOOKUP(M186,'Características dos Cabos MX CH'!$C$21:$K$27,3),(IF(J186="13",VLOOKUP(M186,'Características dos Cabos MX CH'!$C$15:$L$20,3),"")))))))</f>
        <v/>
      </c>
      <c r="W186" s="215" t="str">
        <f t="shared" si="42"/>
        <v/>
      </c>
      <c r="X186" s="215" t="str">
        <f t="shared" si="43"/>
        <v/>
      </c>
      <c r="Y186" s="216" t="str">
        <f t="shared" si="44"/>
        <v/>
      </c>
      <c r="Z186" s="463" t="str">
        <f>IF(O186="","",O186+VLOOKUP(C186,$D$20:$P$185,13,FALSE))</f>
        <v/>
      </c>
      <c r="AA186" s="488">
        <f t="shared" si="45"/>
        <v>0</v>
      </c>
      <c r="AB186" s="488">
        <f t="shared" si="38"/>
        <v>0</v>
      </c>
      <c r="AC186" s="485"/>
      <c r="AE186" s="492" t="str">
        <f t="shared" si="35"/>
        <v/>
      </c>
      <c r="AF186" s="475">
        <f t="shared" si="40"/>
        <v>0</v>
      </c>
    </row>
    <row r="187" spans="1:32" ht="15" customHeight="1">
      <c r="A187" s="696"/>
      <c r="B187" s="698"/>
      <c r="C187" s="517"/>
      <c r="D187" s="520"/>
      <c r="E187" s="522"/>
      <c r="F187" s="521" t="str">
        <f t="shared" si="46"/>
        <v/>
      </c>
      <c r="G187" s="518"/>
      <c r="H187" s="190" t="str">
        <f>IF(AND(E187="",G187=""),"",SUM(F187:G195))</f>
        <v/>
      </c>
      <c r="I187" s="191"/>
      <c r="J187" s="514"/>
      <c r="K187" s="514"/>
      <c r="L187" s="197" t="str">
        <f>IF(J187="Duplex",VLOOKUP(M187,'Características dos Cabos M EX'!$C$12:$I$14,7),(IF(J187="Triplex",VLOOKUP(M187,'Características dos Cabos M EX'!$C$15:$J$20,8),(IF(J187="Quadruplex",VLOOKUP(M187,'Características dos Cabos M EX'!$C$21:$K$27,9),(IF(J187="13",VLOOKUP(M187,'Características dos Cabos M EX'!$C$15:$L$20,10),"")))))))</f>
        <v/>
      </c>
      <c r="M187" s="350" t="str">
        <f t="shared" si="36"/>
        <v/>
      </c>
      <c r="N187" s="519"/>
      <c r="O187" s="192" t="str">
        <f t="shared" si="41"/>
        <v/>
      </c>
      <c r="P187" s="192" t="str">
        <f>IF(O187="","",SUM($O$186:O187)+$Z$186)</f>
        <v/>
      </c>
      <c r="Q187" s="192" t="str">
        <f t="shared" si="37"/>
        <v/>
      </c>
      <c r="R187" s="193" t="str">
        <f>IF(J187="Duplex",VLOOKUP(M187,'Características dos Cabos MX CH'!$C$12:$I$14,5),(IF(J187="Triplex",VLOOKUP(M187,'Características dos Cabos MX CH'!$C$15:$J$20,5),(IF(J187="Quadruplex",VLOOKUP(M187,'Características dos Cabos MX CH'!$C$21:$K$27,5),(IF(J187="13",VLOOKUP(M187,'Características dos Cabos MX CH'!$C$15:$L$20,5),"")))))))</f>
        <v/>
      </c>
      <c r="S187" s="193" t="str">
        <f>IF(J187="Duplex",VLOOKUP(M187,'Características dos Cabos MX CH'!$C$12:$I$14,6),(IF(J187="Triplex",VLOOKUP(M187,'Características dos Cabos MX CH'!$C$15:$J$20,6),(IF(J187="Quadruplex",VLOOKUP(M187,'Características dos Cabos MX CH'!$C$21:$K$27,6),(IF(J187="13",VLOOKUP(M187,'Características dos Cabos MX CH'!$C$15:$L$20,6),"")))))))</f>
        <v/>
      </c>
      <c r="T187" s="194" t="str">
        <f t="shared" si="39"/>
        <v/>
      </c>
      <c r="U187" s="447" t="str">
        <f>IF(J187="Duplex",VLOOKUP(M187,'Características dos Cabos MX CH'!$C$12:$I$14,2),(IF(J187="Triplex",VLOOKUP(M187,'Características dos Cabos MX CH'!$C$15:$J$20,2),(IF(J187="Quadruplex",VLOOKUP(M187,'Características dos Cabos MX CH'!$C$21:$K$27,2),(IF(J187="13",VLOOKUP(M187,'Características dos Cabos MX CH'!$C$15:$L$20,2),"")))))))</f>
        <v/>
      </c>
      <c r="V187" s="193" t="str">
        <f>IF(J187="Duplex",VLOOKUP(M187,'Características dos Cabos MX CH'!$C$12:$I$14,3),(IF(J187="Triplex",VLOOKUP(M187,'Características dos Cabos MX CH'!$C$15:$J$20,3),(IF(J187="Quadruplex",VLOOKUP(M187,'Características dos Cabos MX CH'!$C$21:$K$27,3),(IF(J187="13",VLOOKUP(M187,'Características dos Cabos MX CH'!$C$15:$L$20,3),"")))))))</f>
        <v/>
      </c>
      <c r="W187" s="195" t="str">
        <f t="shared" si="42"/>
        <v/>
      </c>
      <c r="X187" s="195" t="str">
        <f t="shared" si="43"/>
        <v/>
      </c>
      <c r="Y187" s="196" t="str">
        <f t="shared" si="44"/>
        <v/>
      </c>
      <c r="AA187" s="488">
        <f t="shared" si="45"/>
        <v>0</v>
      </c>
      <c r="AB187" s="488">
        <f t="shared" si="38"/>
        <v>0</v>
      </c>
      <c r="AC187" s="485"/>
      <c r="AE187" s="492" t="str">
        <f t="shared" si="35"/>
        <v/>
      </c>
      <c r="AF187" s="475">
        <f t="shared" si="40"/>
        <v>0</v>
      </c>
    </row>
    <row r="188" spans="1:32" ht="15" customHeight="1">
      <c r="A188" s="696"/>
      <c r="B188" s="698"/>
      <c r="C188" s="517"/>
      <c r="D188" s="520"/>
      <c r="E188" s="522"/>
      <c r="F188" s="521" t="str">
        <f t="shared" si="46"/>
        <v/>
      </c>
      <c r="G188" s="518"/>
      <c r="H188" s="190" t="str">
        <f>IF(AND(E188="",G188=""),"",SUM(F188:G195))</f>
        <v/>
      </c>
      <c r="I188" s="191"/>
      <c r="J188" s="514"/>
      <c r="K188" s="514"/>
      <c r="L188" s="197" t="str">
        <f>IF(J188="Duplex",VLOOKUP(M188,'Características dos Cabos M EX'!$C$12:$I$14,7),(IF(J188="Triplex",VLOOKUP(M188,'Características dos Cabos M EX'!$C$15:$J$20,8),(IF(J188="Quadruplex",VLOOKUP(M188,'Características dos Cabos M EX'!$C$21:$K$27,9),(IF(J188="13",VLOOKUP(M188,'Características dos Cabos M EX'!$C$15:$L$20,10),"")))))))</f>
        <v/>
      </c>
      <c r="M188" s="350" t="str">
        <f t="shared" si="36"/>
        <v/>
      </c>
      <c r="N188" s="519"/>
      <c r="O188" s="192" t="str">
        <f t="shared" si="41"/>
        <v/>
      </c>
      <c r="P188" s="192" t="str">
        <f>IF(O188="","",SUM($O$186:O188)+$Z$186)</f>
        <v/>
      </c>
      <c r="Q188" s="192" t="str">
        <f t="shared" si="37"/>
        <v/>
      </c>
      <c r="R188" s="193" t="str">
        <f>IF(J188="Duplex",VLOOKUP(M188,'Características dos Cabos MX CH'!$C$12:$I$14,5),(IF(J188="Triplex",VLOOKUP(M188,'Características dos Cabos MX CH'!$C$15:$J$20,5),(IF(J188="Quadruplex",VLOOKUP(M188,'Características dos Cabos MX CH'!$C$21:$K$27,5),(IF(J188="13",VLOOKUP(M188,'Características dos Cabos MX CH'!$C$15:$L$20,5),"")))))))</f>
        <v/>
      </c>
      <c r="S188" s="193" t="str">
        <f>IF(J188="Duplex",VLOOKUP(M188,'Características dos Cabos MX CH'!$C$12:$I$14,6),(IF(J188="Triplex",VLOOKUP(M188,'Características dos Cabos MX CH'!$C$15:$J$20,6),(IF(J188="Quadruplex",VLOOKUP(M188,'Características dos Cabos MX CH'!$C$21:$K$27,6),(IF(J188="13",VLOOKUP(M188,'Características dos Cabos MX CH'!$C$15:$L$20,6),"")))))))</f>
        <v/>
      </c>
      <c r="T188" s="194" t="str">
        <f t="shared" si="39"/>
        <v/>
      </c>
      <c r="U188" s="447" t="str">
        <f>IF(J188="Duplex",VLOOKUP(M188,'Características dos Cabos MX CH'!$C$12:$I$14,2),(IF(J188="Triplex",VLOOKUP(M188,'Características dos Cabos MX CH'!$C$15:$J$20,2),(IF(J188="Quadruplex",VLOOKUP(M188,'Características dos Cabos MX CH'!$C$21:$K$27,2),(IF(J188="13",VLOOKUP(M188,'Características dos Cabos MX CH'!$C$15:$L$20,2),"")))))))</f>
        <v/>
      </c>
      <c r="V188" s="193" t="str">
        <f>IF(J188="Duplex",VLOOKUP(M188,'Características dos Cabos MX CH'!$C$12:$I$14,3),(IF(J188="Triplex",VLOOKUP(M188,'Características dos Cabos MX CH'!$C$15:$J$20,3),(IF(J188="Quadruplex",VLOOKUP(M188,'Características dos Cabos MX CH'!$C$21:$K$27,3),(IF(J188="13",VLOOKUP(M188,'Características dos Cabos MX CH'!$C$15:$L$20,3),"")))))))</f>
        <v/>
      </c>
      <c r="W188" s="195" t="str">
        <f t="shared" si="42"/>
        <v/>
      </c>
      <c r="X188" s="195" t="str">
        <f t="shared" si="43"/>
        <v/>
      </c>
      <c r="Y188" s="196" t="str">
        <f t="shared" si="44"/>
        <v/>
      </c>
      <c r="AA188" s="488">
        <f t="shared" si="45"/>
        <v>0</v>
      </c>
      <c r="AB188" s="488">
        <f t="shared" si="38"/>
        <v>0</v>
      </c>
      <c r="AC188" s="485"/>
      <c r="AE188" s="492" t="str">
        <f t="shared" si="35"/>
        <v/>
      </c>
      <c r="AF188" s="475">
        <f t="shared" si="40"/>
        <v>0</v>
      </c>
    </row>
    <row r="189" spans="1:32" ht="15" customHeight="1">
      <c r="A189" s="696"/>
      <c r="B189" s="698"/>
      <c r="C189" s="517"/>
      <c r="D189" s="520"/>
      <c r="E189" s="522"/>
      <c r="F189" s="521" t="str">
        <f t="shared" si="46"/>
        <v/>
      </c>
      <c r="G189" s="518"/>
      <c r="H189" s="190" t="str">
        <f>IF(AND(E189="",G189=""),"",SUM(F189:G195))</f>
        <v/>
      </c>
      <c r="I189" s="191"/>
      <c r="J189" s="514"/>
      <c r="K189" s="514"/>
      <c r="L189" s="197" t="str">
        <f>IF(J189="Duplex",VLOOKUP(M189,'Características dos Cabos M EX'!$C$12:$I$14,7),(IF(J189="Triplex",VLOOKUP(M189,'Características dos Cabos M EX'!$C$15:$J$20,8),(IF(J189="Quadruplex",VLOOKUP(M189,'Características dos Cabos M EX'!$C$21:$K$27,9),(IF(J189="13",VLOOKUP(M189,'Características dos Cabos M EX'!$C$15:$L$20,10),"")))))))</f>
        <v/>
      </c>
      <c r="M189" s="350" t="str">
        <f t="shared" si="36"/>
        <v/>
      </c>
      <c r="N189" s="519"/>
      <c r="O189" s="192" t="str">
        <f t="shared" si="41"/>
        <v/>
      </c>
      <c r="P189" s="192" t="str">
        <f>IF(O189="","",SUM($O$186:O189)+$Z$186)</f>
        <v/>
      </c>
      <c r="Q189" s="192" t="str">
        <f t="shared" si="37"/>
        <v/>
      </c>
      <c r="R189" s="193" t="str">
        <f>IF(J189="Duplex",VLOOKUP(M189,'Características dos Cabos MX CH'!$C$12:$I$14,5),(IF(J189="Triplex",VLOOKUP(M189,'Características dos Cabos MX CH'!$C$15:$J$20,5),(IF(J189="Quadruplex",VLOOKUP(M189,'Características dos Cabos MX CH'!$C$21:$K$27,5),(IF(J189="13",VLOOKUP(M189,'Características dos Cabos MX CH'!$C$15:$L$20,5),"")))))))</f>
        <v/>
      </c>
      <c r="S189" s="193" t="str">
        <f>IF(J189="Duplex",VLOOKUP(M189,'Características dos Cabos MX CH'!$C$12:$I$14,6),(IF(J189="Triplex",VLOOKUP(M189,'Características dos Cabos MX CH'!$C$15:$J$20,6),(IF(J189="Quadruplex",VLOOKUP(M189,'Características dos Cabos MX CH'!$C$21:$K$27,6),(IF(J189="13",VLOOKUP(M189,'Características dos Cabos MX CH'!$C$15:$L$20,6),"")))))))</f>
        <v/>
      </c>
      <c r="T189" s="194" t="str">
        <f t="shared" si="39"/>
        <v/>
      </c>
      <c r="U189" s="447" t="str">
        <f>IF(J189="Duplex",VLOOKUP(M189,'Características dos Cabos MX CH'!$C$12:$I$14,2),(IF(J189="Triplex",VLOOKUP(M189,'Características dos Cabos MX CH'!$C$15:$J$20,2),(IF(J189="Quadruplex",VLOOKUP(M189,'Características dos Cabos MX CH'!$C$21:$K$27,2),(IF(J189="13",VLOOKUP(M189,'Características dos Cabos MX CH'!$C$15:$L$20,2),"")))))))</f>
        <v/>
      </c>
      <c r="V189" s="193" t="str">
        <f>IF(J189="Duplex",VLOOKUP(M189,'Características dos Cabos MX CH'!$C$12:$I$14,3),(IF(J189="Triplex",VLOOKUP(M189,'Características dos Cabos MX CH'!$C$15:$J$20,3),(IF(J189="Quadruplex",VLOOKUP(M189,'Características dos Cabos MX CH'!$C$21:$K$27,3),(IF(J189="13",VLOOKUP(M189,'Características dos Cabos MX CH'!$C$15:$L$20,3),"")))))))</f>
        <v/>
      </c>
      <c r="W189" s="195" t="str">
        <f t="shared" si="42"/>
        <v/>
      </c>
      <c r="X189" s="195" t="str">
        <f t="shared" si="43"/>
        <v/>
      </c>
      <c r="Y189" s="196" t="str">
        <f t="shared" si="44"/>
        <v/>
      </c>
      <c r="AA189" s="488">
        <f t="shared" si="45"/>
        <v>0</v>
      </c>
      <c r="AB189" s="488">
        <f t="shared" si="38"/>
        <v>0</v>
      </c>
      <c r="AC189" s="485"/>
      <c r="AE189" s="492" t="str">
        <f t="shared" si="35"/>
        <v/>
      </c>
      <c r="AF189" s="475">
        <f t="shared" si="40"/>
        <v>0</v>
      </c>
    </row>
    <row r="190" spans="1:32" ht="15" customHeight="1">
      <c r="A190" s="696"/>
      <c r="B190" s="698"/>
      <c r="C190" s="517"/>
      <c r="D190" s="520"/>
      <c r="E190" s="522"/>
      <c r="F190" s="521" t="str">
        <f t="shared" si="46"/>
        <v/>
      </c>
      <c r="G190" s="518"/>
      <c r="H190" s="190" t="str">
        <f>IF(AND(E190="",G190=""),"",SUM(F190:G195))</f>
        <v/>
      </c>
      <c r="I190" s="191"/>
      <c r="J190" s="514"/>
      <c r="K190" s="514"/>
      <c r="L190" s="197" t="str">
        <f>IF(J190="Duplex",VLOOKUP(M190,'Características dos Cabos M EX'!$C$12:$I$14,7),(IF(J190="Triplex",VLOOKUP(M190,'Características dos Cabos M EX'!$C$15:$J$20,8),(IF(J190="Quadruplex",VLOOKUP(M190,'Características dos Cabos M EX'!$C$21:$K$27,9),(IF(J190="13",VLOOKUP(M190,'Características dos Cabos M EX'!$C$15:$L$20,10),"")))))))</f>
        <v/>
      </c>
      <c r="M190" s="350" t="str">
        <f t="shared" si="36"/>
        <v/>
      </c>
      <c r="N190" s="519"/>
      <c r="O190" s="192" t="str">
        <f t="shared" si="41"/>
        <v/>
      </c>
      <c r="P190" s="192" t="str">
        <f>IF(O190="","",SUM($O$186:O190)+$Z$186)</f>
        <v/>
      </c>
      <c r="Q190" s="192" t="str">
        <f t="shared" si="37"/>
        <v/>
      </c>
      <c r="R190" s="193" t="str">
        <f>IF(J190="Duplex",VLOOKUP(M190,'Características dos Cabos MX CH'!$C$12:$I$14,5),(IF(J190="Triplex",VLOOKUP(M190,'Características dos Cabos MX CH'!$C$15:$J$20,5),(IF(J190="Quadruplex",VLOOKUP(M190,'Características dos Cabos MX CH'!$C$21:$K$27,5),(IF(J190="13",VLOOKUP(M190,'Características dos Cabos MX CH'!$C$15:$L$20,5),"")))))))</f>
        <v/>
      </c>
      <c r="S190" s="193" t="str">
        <f>IF(J190="Duplex",VLOOKUP(M190,'Características dos Cabos MX CH'!$C$12:$I$14,6),(IF(J190="Triplex",VLOOKUP(M190,'Características dos Cabos MX CH'!$C$15:$J$20,6),(IF(J190="Quadruplex",VLOOKUP(M190,'Características dos Cabos MX CH'!$C$21:$K$27,6),(IF(J190="13",VLOOKUP(M190,'Características dos Cabos MX CH'!$C$15:$L$20,6),"")))))))</f>
        <v/>
      </c>
      <c r="T190" s="194" t="str">
        <f t="shared" si="39"/>
        <v/>
      </c>
      <c r="U190" s="447" t="str">
        <f>IF(J190="Duplex",VLOOKUP(M190,'Características dos Cabos MX CH'!$C$12:$I$14,2),(IF(J190="Triplex",VLOOKUP(M190,'Características dos Cabos MX CH'!$C$15:$J$20,2),(IF(J190="Quadruplex",VLOOKUP(M190,'Características dos Cabos MX CH'!$C$21:$K$27,2),(IF(J190="13",VLOOKUP(M190,'Características dos Cabos MX CH'!$C$15:$L$20,2),"")))))))</f>
        <v/>
      </c>
      <c r="V190" s="193" t="str">
        <f>IF(J190="Duplex",VLOOKUP(M190,'Características dos Cabos MX CH'!$C$12:$I$14,3),(IF(J190="Triplex",VLOOKUP(M190,'Características dos Cabos MX CH'!$C$15:$J$20,3),(IF(J190="Quadruplex",VLOOKUP(M190,'Características dos Cabos MX CH'!$C$21:$K$27,3),(IF(J190="13",VLOOKUP(M190,'Características dos Cabos MX CH'!$C$15:$L$20,3),"")))))))</f>
        <v/>
      </c>
      <c r="W190" s="195" t="str">
        <f t="shared" si="42"/>
        <v/>
      </c>
      <c r="X190" s="195" t="str">
        <f t="shared" si="43"/>
        <v/>
      </c>
      <c r="Y190" s="196" t="str">
        <f t="shared" si="44"/>
        <v/>
      </c>
      <c r="AA190" s="488">
        <f t="shared" si="45"/>
        <v>0</v>
      </c>
      <c r="AB190" s="488">
        <f t="shared" si="38"/>
        <v>0</v>
      </c>
      <c r="AC190" s="485"/>
      <c r="AE190" s="492" t="str">
        <f t="shared" si="35"/>
        <v/>
      </c>
      <c r="AF190" s="475">
        <f t="shared" si="40"/>
        <v>0</v>
      </c>
    </row>
    <row r="191" spans="1:32" ht="15" customHeight="1">
      <c r="A191" s="696"/>
      <c r="B191" s="698"/>
      <c r="C191" s="517"/>
      <c r="D191" s="520"/>
      <c r="E191" s="522"/>
      <c r="F191" s="521" t="str">
        <f t="shared" si="46"/>
        <v/>
      </c>
      <c r="G191" s="518"/>
      <c r="H191" s="190" t="str">
        <f>IF(AND(E191="",G191=""),"",SUM(F191:G195))</f>
        <v/>
      </c>
      <c r="I191" s="191"/>
      <c r="J191" s="514"/>
      <c r="K191" s="514"/>
      <c r="L191" s="197" t="str">
        <f>IF(J191="Duplex",VLOOKUP(M191,'Características dos Cabos M EX'!$C$12:$I$14,7),(IF(J191="Triplex",VLOOKUP(M191,'Características dos Cabos M EX'!$C$15:$J$20,8),(IF(J191="Quadruplex",VLOOKUP(M191,'Características dos Cabos M EX'!$C$21:$K$27,9),(IF(J191="13",VLOOKUP(M191,'Características dos Cabos M EX'!$C$15:$L$20,10),"")))))))</f>
        <v/>
      </c>
      <c r="M191" s="350" t="str">
        <f t="shared" si="36"/>
        <v/>
      </c>
      <c r="N191" s="519"/>
      <c r="O191" s="192" t="str">
        <f t="shared" si="41"/>
        <v/>
      </c>
      <c r="P191" s="192" t="str">
        <f>IF(O191="","",SUM($O$186:O191)+$Z$186)</f>
        <v/>
      </c>
      <c r="Q191" s="192" t="str">
        <f t="shared" si="37"/>
        <v/>
      </c>
      <c r="R191" s="193" t="str">
        <f>IF(J191="Duplex",VLOOKUP(M191,'Características dos Cabos MX CH'!$C$12:$I$14,5),(IF(J191="Triplex",VLOOKUP(M191,'Características dos Cabos MX CH'!$C$15:$J$20,5),(IF(J191="Quadruplex",VLOOKUP(M191,'Características dos Cabos MX CH'!$C$21:$K$27,5),(IF(J191="13",VLOOKUP(M191,'Características dos Cabos MX CH'!$C$15:$L$20,5),"")))))))</f>
        <v/>
      </c>
      <c r="S191" s="193" t="str">
        <f>IF(J191="Duplex",VLOOKUP(M191,'Características dos Cabos MX CH'!$C$12:$I$14,6),(IF(J191="Triplex",VLOOKUP(M191,'Características dos Cabos MX CH'!$C$15:$J$20,6),(IF(J191="Quadruplex",VLOOKUP(M191,'Características dos Cabos MX CH'!$C$21:$K$27,6),(IF(J191="13",VLOOKUP(M191,'Características dos Cabos MX CH'!$C$15:$L$20,6),"")))))))</f>
        <v/>
      </c>
      <c r="T191" s="194" t="str">
        <f t="shared" si="39"/>
        <v/>
      </c>
      <c r="U191" s="447" t="str">
        <f>IF(J191="Duplex",VLOOKUP(M191,'Características dos Cabos MX CH'!$C$12:$I$14,2),(IF(J191="Triplex",VLOOKUP(M191,'Características dos Cabos MX CH'!$C$15:$J$20,2),(IF(J191="Quadruplex",VLOOKUP(M191,'Características dos Cabos MX CH'!$C$21:$K$27,2),(IF(J191="13",VLOOKUP(M191,'Características dos Cabos MX CH'!$C$15:$L$20,2),"")))))))</f>
        <v/>
      </c>
      <c r="V191" s="193" t="str">
        <f>IF(J191="Duplex",VLOOKUP(M191,'Características dos Cabos MX CH'!$C$12:$I$14,3),(IF(J191="Triplex",VLOOKUP(M191,'Características dos Cabos MX CH'!$C$15:$J$20,3),(IF(J191="Quadruplex",VLOOKUP(M191,'Características dos Cabos MX CH'!$C$21:$K$27,3),(IF(J191="13",VLOOKUP(M191,'Características dos Cabos MX CH'!$C$15:$L$20,3),"")))))))</f>
        <v/>
      </c>
      <c r="W191" s="195" t="str">
        <f t="shared" si="42"/>
        <v/>
      </c>
      <c r="X191" s="195" t="str">
        <f t="shared" si="43"/>
        <v/>
      </c>
      <c r="Y191" s="196" t="str">
        <f t="shared" si="44"/>
        <v/>
      </c>
      <c r="AA191" s="488">
        <f t="shared" si="45"/>
        <v>0</v>
      </c>
      <c r="AB191" s="488">
        <f t="shared" si="38"/>
        <v>0</v>
      </c>
      <c r="AC191" s="485"/>
      <c r="AE191" s="492" t="str">
        <f t="shared" si="35"/>
        <v/>
      </c>
      <c r="AF191" s="475">
        <f t="shared" si="40"/>
        <v>0</v>
      </c>
    </row>
    <row r="192" spans="1:32" ht="15" customHeight="1">
      <c r="A192" s="696"/>
      <c r="B192" s="698"/>
      <c r="C192" s="517"/>
      <c r="D192" s="520"/>
      <c r="E192" s="522"/>
      <c r="F192" s="521" t="str">
        <f t="shared" si="46"/>
        <v/>
      </c>
      <c r="G192" s="518"/>
      <c r="H192" s="190" t="str">
        <f>IF(AND(E192="",G192=""),"",SUM(F192:G195))</f>
        <v/>
      </c>
      <c r="I192" s="191"/>
      <c r="J192" s="514"/>
      <c r="K192" s="514"/>
      <c r="L192" s="197" t="str">
        <f>IF(J192="Duplex",VLOOKUP(M192,'Características dos Cabos M EX'!$C$12:$I$14,7),(IF(J192="Triplex",VLOOKUP(M192,'Características dos Cabos M EX'!$C$15:$J$20,8),(IF(J192="Quadruplex",VLOOKUP(M192,'Características dos Cabos M EX'!$C$21:$K$27,9),(IF(J192="13",VLOOKUP(M192,'Características dos Cabos M EX'!$C$15:$L$20,10),"")))))))</f>
        <v/>
      </c>
      <c r="M192" s="350" t="str">
        <f t="shared" si="36"/>
        <v/>
      </c>
      <c r="N192" s="519"/>
      <c r="O192" s="192" t="str">
        <f t="shared" si="41"/>
        <v/>
      </c>
      <c r="P192" s="192" t="str">
        <f>IF(O192="","",SUM($O$186:O192)+$Z$186)</f>
        <v/>
      </c>
      <c r="Q192" s="192" t="str">
        <f t="shared" si="37"/>
        <v/>
      </c>
      <c r="R192" s="193" t="str">
        <f>IF(J192="Duplex",VLOOKUP(M192,'Características dos Cabos MX CH'!$C$12:$I$14,5),(IF(J192="Triplex",VLOOKUP(M192,'Características dos Cabos MX CH'!$C$15:$J$20,5),(IF(J192="Quadruplex",VLOOKUP(M192,'Características dos Cabos MX CH'!$C$21:$K$27,5),(IF(J192="13",VLOOKUP(M192,'Características dos Cabos MX CH'!$C$15:$L$20,5),"")))))))</f>
        <v/>
      </c>
      <c r="S192" s="193" t="str">
        <f>IF(J192="Duplex",VLOOKUP(M192,'Características dos Cabos MX CH'!$C$12:$I$14,6),(IF(J192="Triplex",VLOOKUP(M192,'Características dos Cabos MX CH'!$C$15:$J$20,6),(IF(J192="Quadruplex",VLOOKUP(M192,'Características dos Cabos MX CH'!$C$21:$K$27,6),(IF(J192="13",VLOOKUP(M192,'Características dos Cabos MX CH'!$C$15:$L$20,6),"")))))))</f>
        <v/>
      </c>
      <c r="T192" s="194" t="str">
        <f t="shared" si="39"/>
        <v/>
      </c>
      <c r="U192" s="447" t="str">
        <f>IF(J192="Duplex",VLOOKUP(M192,'Características dos Cabos MX CH'!$C$12:$I$14,2),(IF(J192="Triplex",VLOOKUP(M192,'Características dos Cabos MX CH'!$C$15:$J$20,2),(IF(J192="Quadruplex",VLOOKUP(M192,'Características dos Cabos MX CH'!$C$21:$K$27,2),(IF(J192="13",VLOOKUP(M192,'Características dos Cabos MX CH'!$C$15:$L$20,2),"")))))))</f>
        <v/>
      </c>
      <c r="V192" s="193" t="str">
        <f>IF(J192="Duplex",VLOOKUP(M192,'Características dos Cabos MX CH'!$C$12:$I$14,3),(IF(J192="Triplex",VLOOKUP(M192,'Características dos Cabos MX CH'!$C$15:$J$20,3),(IF(J192="Quadruplex",VLOOKUP(M192,'Características dos Cabos MX CH'!$C$21:$K$27,3),(IF(J192="13",VLOOKUP(M192,'Características dos Cabos MX CH'!$C$15:$L$20,3),"")))))))</f>
        <v/>
      </c>
      <c r="W192" s="195" t="str">
        <f t="shared" si="42"/>
        <v/>
      </c>
      <c r="X192" s="195" t="str">
        <f t="shared" si="43"/>
        <v/>
      </c>
      <c r="Y192" s="196" t="str">
        <f t="shared" si="44"/>
        <v/>
      </c>
      <c r="AA192" s="488">
        <f t="shared" si="45"/>
        <v>0</v>
      </c>
      <c r="AB192" s="488">
        <f t="shared" si="38"/>
        <v>0</v>
      </c>
      <c r="AC192" s="485"/>
      <c r="AE192" s="492" t="str">
        <f t="shared" si="35"/>
        <v/>
      </c>
      <c r="AF192" s="475">
        <f t="shared" si="40"/>
        <v>0</v>
      </c>
    </row>
    <row r="193" spans="1:32" ht="15" customHeight="1">
      <c r="A193" s="696"/>
      <c r="B193" s="698"/>
      <c r="C193" s="517"/>
      <c r="D193" s="520"/>
      <c r="E193" s="522"/>
      <c r="F193" s="521" t="str">
        <f t="shared" si="46"/>
        <v/>
      </c>
      <c r="G193" s="518"/>
      <c r="H193" s="190" t="str">
        <f>IF(AND(E193="",G193=""),"",SUM(F193:G195))</f>
        <v/>
      </c>
      <c r="I193" s="191"/>
      <c r="J193" s="514"/>
      <c r="K193" s="514"/>
      <c r="L193" s="197" t="str">
        <f>IF(J193="Duplex",VLOOKUP(M193,'Características dos Cabos M EX'!$C$12:$I$14,7),(IF(J193="Triplex",VLOOKUP(M193,'Características dos Cabos M EX'!$C$15:$J$20,8),(IF(J193="Quadruplex",VLOOKUP(M193,'Características dos Cabos M EX'!$C$21:$K$27,9),(IF(J193="13",VLOOKUP(M193,'Características dos Cabos M EX'!$C$15:$L$20,10),"")))))))</f>
        <v/>
      </c>
      <c r="M193" s="350" t="str">
        <f t="shared" si="36"/>
        <v/>
      </c>
      <c r="N193" s="519"/>
      <c r="O193" s="192" t="str">
        <f t="shared" si="41"/>
        <v/>
      </c>
      <c r="P193" s="192" t="str">
        <f>IF(O193="","",SUM($O$186:O193)+$Z$186)</f>
        <v/>
      </c>
      <c r="Q193" s="192" t="str">
        <f t="shared" si="37"/>
        <v/>
      </c>
      <c r="R193" s="193" t="str">
        <f>IF(J193="Duplex",VLOOKUP(M193,'Características dos Cabos MX CH'!$C$12:$I$14,5),(IF(J193="Triplex",VLOOKUP(M193,'Características dos Cabos MX CH'!$C$15:$J$20,5),(IF(J193="Quadruplex",VLOOKUP(M193,'Características dos Cabos MX CH'!$C$21:$K$27,5),(IF(J193="13",VLOOKUP(M193,'Características dos Cabos MX CH'!$C$15:$L$20,5),"")))))))</f>
        <v/>
      </c>
      <c r="S193" s="193" t="str">
        <f>IF(J193="Duplex",VLOOKUP(M193,'Características dos Cabos MX CH'!$C$12:$I$14,6),(IF(J193="Triplex",VLOOKUP(M193,'Características dos Cabos MX CH'!$C$15:$J$20,6),(IF(J193="Quadruplex",VLOOKUP(M193,'Características dos Cabos MX CH'!$C$21:$K$27,6),(IF(J193="13",VLOOKUP(M193,'Características dos Cabos MX CH'!$C$15:$L$20,6),"")))))))</f>
        <v/>
      </c>
      <c r="T193" s="194" t="str">
        <f t="shared" si="39"/>
        <v/>
      </c>
      <c r="U193" s="447" t="str">
        <f>IF(J193="Duplex",VLOOKUP(M193,'Características dos Cabos MX CH'!$C$12:$I$14,2),(IF(J193="Triplex",VLOOKUP(M193,'Características dos Cabos MX CH'!$C$15:$J$20,2),(IF(J193="Quadruplex",VLOOKUP(M193,'Características dos Cabos MX CH'!$C$21:$K$27,2),(IF(J193="13",VLOOKUP(M193,'Características dos Cabos MX CH'!$C$15:$L$20,2),"")))))))</f>
        <v/>
      </c>
      <c r="V193" s="193" t="str">
        <f>IF(J193="Duplex",VLOOKUP(M193,'Características dos Cabos MX CH'!$C$12:$I$14,3),(IF(J193="Triplex",VLOOKUP(M193,'Características dos Cabos MX CH'!$C$15:$J$20,3),(IF(J193="Quadruplex",VLOOKUP(M193,'Características dos Cabos MX CH'!$C$21:$K$27,3),(IF(J193="13",VLOOKUP(M193,'Características dos Cabos MX CH'!$C$15:$L$20,3),"")))))))</f>
        <v/>
      </c>
      <c r="W193" s="195" t="str">
        <f t="shared" si="42"/>
        <v/>
      </c>
      <c r="X193" s="195" t="str">
        <f t="shared" si="43"/>
        <v/>
      </c>
      <c r="Y193" s="196" t="str">
        <f t="shared" si="44"/>
        <v/>
      </c>
      <c r="AA193" s="488">
        <f t="shared" si="45"/>
        <v>0</v>
      </c>
      <c r="AB193" s="488">
        <f t="shared" si="38"/>
        <v>0</v>
      </c>
      <c r="AC193" s="485"/>
      <c r="AE193" s="492" t="str">
        <f t="shared" si="35"/>
        <v/>
      </c>
      <c r="AF193" s="475">
        <f t="shared" si="40"/>
        <v>0</v>
      </c>
    </row>
    <row r="194" spans="1:32" ht="15" customHeight="1">
      <c r="A194" s="696"/>
      <c r="B194" s="698"/>
      <c r="C194" s="517"/>
      <c r="D194" s="520"/>
      <c r="E194" s="522"/>
      <c r="F194" s="521" t="str">
        <f t="shared" si="46"/>
        <v/>
      </c>
      <c r="G194" s="518"/>
      <c r="H194" s="190" t="str">
        <f>IF(AND(E194="",G194=""),"",SUM(F194:G195))</f>
        <v/>
      </c>
      <c r="I194" s="191"/>
      <c r="J194" s="514"/>
      <c r="K194" s="514"/>
      <c r="L194" s="197" t="str">
        <f>IF(J194="Duplex",VLOOKUP(M194,'Características dos Cabos M EX'!$C$12:$I$14,7),(IF(J194="Triplex",VLOOKUP(M194,'Características dos Cabos M EX'!$C$15:$J$20,8),(IF(J194="Quadruplex",VLOOKUP(M194,'Características dos Cabos M EX'!$C$21:$K$27,9),(IF(J194="13",VLOOKUP(M194,'Características dos Cabos M EX'!$C$15:$L$20,10),"")))))))</f>
        <v/>
      </c>
      <c r="M194" s="350" t="str">
        <f t="shared" si="36"/>
        <v/>
      </c>
      <c r="N194" s="519"/>
      <c r="O194" s="192" t="str">
        <f t="shared" si="41"/>
        <v/>
      </c>
      <c r="P194" s="192" t="str">
        <f>IF(O194="","",SUM($O$186:O194)+$Z$186)</f>
        <v/>
      </c>
      <c r="Q194" s="192" t="str">
        <f t="shared" si="37"/>
        <v/>
      </c>
      <c r="R194" s="193" t="str">
        <f>IF(J194="Duplex",VLOOKUP(M194,'Características dos Cabos MX CH'!$C$12:$I$14,5),(IF(J194="Triplex",VLOOKUP(M194,'Características dos Cabos MX CH'!$C$15:$J$20,5),(IF(J194="Quadruplex",VLOOKUP(M194,'Características dos Cabos MX CH'!$C$21:$K$27,5),(IF(J194="13",VLOOKUP(M194,'Características dos Cabos MX CH'!$C$15:$L$20,5),"")))))))</f>
        <v/>
      </c>
      <c r="S194" s="193" t="str">
        <f>IF(J194="Duplex",VLOOKUP(M194,'Características dos Cabos MX CH'!$C$12:$I$14,6),(IF(J194="Triplex",VLOOKUP(M194,'Características dos Cabos MX CH'!$C$15:$J$20,6),(IF(J194="Quadruplex",VLOOKUP(M194,'Características dos Cabos MX CH'!$C$21:$K$27,6),(IF(J194="13",VLOOKUP(M194,'Características dos Cabos MX CH'!$C$15:$L$20,6),"")))))))</f>
        <v/>
      </c>
      <c r="T194" s="194" t="str">
        <f t="shared" si="39"/>
        <v/>
      </c>
      <c r="U194" s="447" t="str">
        <f>IF(J194="Duplex",VLOOKUP(M194,'Características dos Cabos MX CH'!$C$12:$I$14,2),(IF(J194="Triplex",VLOOKUP(M194,'Características dos Cabos MX CH'!$C$15:$J$20,2),(IF(J194="Quadruplex",VLOOKUP(M194,'Características dos Cabos MX CH'!$C$21:$K$27,2),(IF(J194="13",VLOOKUP(M194,'Características dos Cabos MX CH'!$C$15:$L$20,2),"")))))))</f>
        <v/>
      </c>
      <c r="V194" s="193" t="str">
        <f>IF(J194="Duplex",VLOOKUP(M194,'Características dos Cabos MX CH'!$C$12:$I$14,3),(IF(J194="Triplex",VLOOKUP(M194,'Características dos Cabos MX CH'!$C$15:$J$20,3),(IF(J194="Quadruplex",VLOOKUP(M194,'Características dos Cabos MX CH'!$C$21:$K$27,3),(IF(J194="13",VLOOKUP(M194,'Características dos Cabos MX CH'!$C$15:$L$20,3),"")))))))</f>
        <v/>
      </c>
      <c r="W194" s="195" t="str">
        <f t="shared" si="42"/>
        <v/>
      </c>
      <c r="X194" s="195" t="str">
        <f t="shared" si="43"/>
        <v/>
      </c>
      <c r="Y194" s="196" t="str">
        <f t="shared" si="44"/>
        <v/>
      </c>
      <c r="AA194" s="488">
        <f t="shared" si="45"/>
        <v>0</v>
      </c>
      <c r="AB194" s="488">
        <f t="shared" si="38"/>
        <v>0</v>
      </c>
      <c r="AC194" s="485"/>
      <c r="AE194" s="492" t="str">
        <f t="shared" si="35"/>
        <v/>
      </c>
      <c r="AF194" s="475">
        <f t="shared" si="40"/>
        <v>0</v>
      </c>
    </row>
    <row r="195" spans="1:32" ht="15" customHeight="1" thickBot="1">
      <c r="A195" s="697"/>
      <c r="B195" s="699"/>
      <c r="C195" s="523"/>
      <c r="D195" s="524"/>
      <c r="E195" s="525"/>
      <c r="F195" s="541" t="str">
        <f t="shared" si="46"/>
        <v/>
      </c>
      <c r="G195" s="527"/>
      <c r="H195" s="200" t="str">
        <f>IF(AND(E195="",G195=""),"",SUM(F195:G195))</f>
        <v/>
      </c>
      <c r="I195" s="201"/>
      <c r="J195" s="528"/>
      <c r="K195" s="528"/>
      <c r="L195" s="200" t="str">
        <f>IF(J195="Duplex",VLOOKUP(M195,'Características dos Cabos M EX'!$C$12:$I$14,7),(IF(J195="Triplex",VLOOKUP(M195,'Características dos Cabos M EX'!$C$15:$J$20,8),(IF(J195="Quadruplex",VLOOKUP(M195,'Características dos Cabos M EX'!$C$21:$K$27,9),(IF(J195="13",VLOOKUP(M195,'Características dos Cabos M EX'!$C$15:$L$20,10),"")))))))</f>
        <v/>
      </c>
      <c r="M195" s="353" t="str">
        <f t="shared" si="36"/>
        <v/>
      </c>
      <c r="N195" s="529"/>
      <c r="O195" s="203" t="str">
        <f t="shared" si="41"/>
        <v/>
      </c>
      <c r="P195" s="200" t="str">
        <f>IF(O195="","",SUM($O$186:O195)+$Z$186)</f>
        <v/>
      </c>
      <c r="Q195" s="203" t="str">
        <f t="shared" si="37"/>
        <v/>
      </c>
      <c r="R195" s="204" t="str">
        <f>IF(J195="Duplex",VLOOKUP(M195,'Características dos Cabos MX CH'!$C$12:$I$14,5),(IF(J195="Triplex",VLOOKUP(M195,'Características dos Cabos MX CH'!$C$15:$J$20,5),(IF(J195="Quadruplex",VLOOKUP(M195,'Características dos Cabos MX CH'!$C$21:$K$27,5),(IF(J195="13",VLOOKUP(M195,'Características dos Cabos MX CH'!$C$15:$L$20,5),"")))))))</f>
        <v/>
      </c>
      <c r="S195" s="204" t="str">
        <f>IF(J195="Duplex",VLOOKUP(M195,'Características dos Cabos MX CH'!$C$12:$I$14,6),(IF(J195="Triplex",VLOOKUP(M195,'Características dos Cabos MX CH'!$C$15:$J$20,6),(IF(J195="Quadruplex",VLOOKUP(M195,'Características dos Cabos MX CH'!$C$21:$K$27,6),(IF(J195="13",VLOOKUP(M195,'Características dos Cabos MX CH'!$C$15:$L$20,6),"")))))))</f>
        <v/>
      </c>
      <c r="T195" s="205" t="str">
        <f t="shared" si="39"/>
        <v/>
      </c>
      <c r="U195" s="448" t="str">
        <f>IF(J195="Duplex",VLOOKUP(M195,'Características dos Cabos MX CH'!$C$12:$I$14,2),(IF(J195="Triplex",VLOOKUP(M195,'Características dos Cabos MX CH'!$C$15:$J$20,2),(IF(J195="Quadruplex",VLOOKUP(M195,'Características dos Cabos MX CH'!$C$21:$K$27,2),(IF(J195="13",VLOOKUP(M195,'Características dos Cabos MX CH'!$C$15:$L$20,2),"")))))))</f>
        <v/>
      </c>
      <c r="V195" s="204" t="str">
        <f>IF(J195="Duplex",VLOOKUP(M195,'Características dos Cabos MX CH'!$C$12:$I$14,3),(IF(J195="Triplex",VLOOKUP(M195,'Características dos Cabos MX CH'!$C$15:$J$20,3),(IF(J195="Quadruplex",VLOOKUP(M195,'Características dos Cabos MX CH'!$C$21:$K$27,3),(IF(J195="13",VLOOKUP(M195,'Características dos Cabos MX CH'!$C$15:$L$20,3),"")))))))</f>
        <v/>
      </c>
      <c r="W195" s="206" t="str">
        <f t="shared" si="42"/>
        <v/>
      </c>
      <c r="X195" s="206" t="str">
        <f t="shared" si="43"/>
        <v/>
      </c>
      <c r="Y195" s="207" t="str">
        <f t="shared" si="44"/>
        <v/>
      </c>
      <c r="AA195" s="488">
        <f t="shared" si="45"/>
        <v>0</v>
      </c>
      <c r="AB195" s="488">
        <f t="shared" si="38"/>
        <v>0</v>
      </c>
      <c r="AC195" s="485"/>
      <c r="AE195" s="492" t="str">
        <f t="shared" si="35"/>
        <v/>
      </c>
      <c r="AF195" s="475">
        <f t="shared" si="40"/>
        <v>0</v>
      </c>
    </row>
    <row r="196" ht="13.5" thickTop="1"/>
    <row r="197" spans="1:1" ht="12.75">
      <c r="A197" t="s">
        <v>127</v>
      </c>
    </row>
  </sheetData>
  <sheetProtection algorithmName="SHA-512" hashValue="GFS5TrIGRwJ30QSCeI974joJ50ZFSDGy7J3vqVdE+VB8nDCOUAYhZ0R07jZczTa8XcdyxIPkxFRv6r1CwAWSAA==" saltValue="Sjcp1ISi2cqWDR3HJI4ZmQ==" spinCount="100000" sheet="1" selectLockedCells="1"/>
  <mergeCells count="67">
    <mergeCell ref="A1:Y1"/>
    <mergeCell ref="A2:Y2"/>
    <mergeCell ref="A5:Y5"/>
    <mergeCell ref="D7:G7"/>
    <mergeCell ref="I7:N7"/>
    <mergeCell ref="P7:Y7"/>
    <mergeCell ref="D8:G8"/>
    <mergeCell ref="J8:N8"/>
    <mergeCell ref="P8:Y8"/>
    <mergeCell ref="C10:F11"/>
    <mergeCell ref="H10:J10"/>
    <mergeCell ref="K10:L10"/>
    <mergeCell ref="N10:O10"/>
    <mergeCell ref="P10:Q10"/>
    <mergeCell ref="T10:Y10"/>
    <mergeCell ref="C12:D12"/>
    <mergeCell ref="E12:G12"/>
    <mergeCell ref="H12:J12"/>
    <mergeCell ref="K12:L12"/>
    <mergeCell ref="N12:O12"/>
    <mergeCell ref="T17:T18"/>
    <mergeCell ref="P14:Q14"/>
    <mergeCell ref="T14:Y14"/>
    <mergeCell ref="C17:D17"/>
    <mergeCell ref="E17:E18"/>
    <mergeCell ref="G17:G18"/>
    <mergeCell ref="H17:H18"/>
    <mergeCell ref="J17:J18"/>
    <mergeCell ref="K17:K18"/>
    <mergeCell ref="L17:L18"/>
    <mergeCell ref="N17:N18"/>
    <mergeCell ref="C14:D14"/>
    <mergeCell ref="E14:G14"/>
    <mergeCell ref="H14:J14"/>
    <mergeCell ref="K14:L14"/>
    <mergeCell ref="N14:O14"/>
    <mergeCell ref="O17:O18"/>
    <mergeCell ref="P17:P18"/>
    <mergeCell ref="Q17:Q18"/>
    <mergeCell ref="R17:R18"/>
    <mergeCell ref="S17:S18"/>
    <mergeCell ref="A19:A44"/>
    <mergeCell ref="B19:B31"/>
    <mergeCell ref="C19:D19"/>
    <mergeCell ref="B32:B44"/>
    <mergeCell ref="C32:D32"/>
    <mergeCell ref="U17:U18"/>
    <mergeCell ref="W17:W18"/>
    <mergeCell ref="X17:X18"/>
    <mergeCell ref="Y17:Y18"/>
    <mergeCell ref="AE18:AF18"/>
    <mergeCell ref="B186:B195"/>
    <mergeCell ref="A46:A195"/>
    <mergeCell ref="B46:B55"/>
    <mergeCell ref="B56:B65"/>
    <mergeCell ref="B66:B75"/>
    <mergeCell ref="B76:B85"/>
    <mergeCell ref="B86:B95"/>
    <mergeCell ref="B96:B105"/>
    <mergeCell ref="B106:B115"/>
    <mergeCell ref="B116:B125"/>
    <mergeCell ref="B126:B135"/>
    <mergeCell ref="B136:B145"/>
    <mergeCell ref="B146:B155"/>
    <mergeCell ref="B156:B165"/>
    <mergeCell ref="B166:B175"/>
    <mergeCell ref="B176:B185"/>
  </mergeCells>
  <dataValidations count="6">
    <dataValidation type="list" allowBlank="1" showInputMessage="1" showErrorMessage="1" sqref="J20:J31 J33:J195">
      <formula1>Descrição</formula1>
    </dataValidation>
    <dataValidation type="list" allowBlank="1" showInputMessage="1" showErrorMessage="1" sqref="K20:K31 K33:K195">
      <formula1>INDIRECT(J20)</formula1>
    </dataValidation>
    <dataValidation type="list" allowBlank="1" showInputMessage="1" showErrorMessage="1" sqref="D13">
      <formula1>Sheet2!$F$2:$F$3</formula1>
    </dataValidation>
    <dataValidation type="list" allowBlank="1" showInputMessage="1" showErrorMessage="1" sqref="D15">
      <formula1>Sheet2!$G$2:$G$3</formula1>
    </dataValidation>
    <dataValidation type="list" allowBlank="1" showInputMessage="1" showErrorMessage="1" sqref="J13">
      <formula1>Sheet2!$I$2:$I$3</formula1>
    </dataValidation>
    <dataValidation type="list" allowBlank="1" showInputMessage="1" showErrorMessage="1" sqref="L11">
      <formula1>Sheet2!$K$2:$K$3</formula1>
    </dataValidation>
  </dataValidations>
  <printOptions horizontalCentered="1"/>
  <pageMargins left="0.393700787401575" right="0.393700787401575" top="0.393700787401575" bottom="0.393700787401575" header="0.511811023622047" footer="0.511811023622047"/>
  <pageSetup horizontalDpi="300" verticalDpi="300" orientation="landscape" paperSize="9" scale="72" r:id="rId5"/>
  <headerFooter alignWithMargins="0"/>
  <rowBreaks count="5" manualBreakCount="5">
    <brk id="45" max="24" man="1"/>
    <brk id="75" max="16383" man="1"/>
    <brk id="105" max="16383" man="1"/>
    <brk id="135" max="16383" man="1"/>
    <brk id="165" max="16383" man="1"/>
  </rowBreaks>
  <ignoredErrors>
    <ignoredError sqref="P70 P72 P74" 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2" name="Button 8">
              <controlPr defaultSize="0" print="0" autoLine="0" autoPict="0" macro="[0]!Macro1">
                <anchor moveWithCells="1" sizeWithCells="1">
                  <from>
                    <xdr:col>24</xdr:col>
                    <xdr:colOff>342900</xdr:colOff>
                    <xdr:row>2</xdr:row>
                    <xdr:rowOff>133350</xdr:rowOff>
                  </from>
                  <to>
                    <xdr:col>24</xdr:col>
                    <xdr:colOff>1028700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A28"/>
  <sheetViews>
    <sheetView showGridLines="0" view="pageBreakPreview" zoomScale="87" zoomScaleNormal="75" zoomScaleSheetLayoutView="87" workbookViewId="0" topLeftCell="A10">
      <selection pane="topLeft" activeCell="K21" sqref="K21"/>
    </sheetView>
  </sheetViews>
  <sheetFormatPr defaultRowHeight="12.75"/>
  <cols>
    <col min="1" max="1" width="14.7142857142857" customWidth="1"/>
    <col min="2" max="2" width="18.7142857142857" customWidth="1"/>
    <col min="3" max="3" width="10.7142857142857" customWidth="1"/>
    <col min="4" max="4" width="12.4285714285714" customWidth="1"/>
    <col min="5" max="5" width="11.7142857142857" customWidth="1"/>
    <col min="6" max="6" width="11.5714285714286" customWidth="1"/>
    <col min="7" max="7" width="11" customWidth="1"/>
    <col min="8" max="9" width="10.4285714285714" customWidth="1"/>
    <col min="10" max="10" width="10.7142857142857" customWidth="1"/>
    <col min="11" max="11" width="11.7142857142857" customWidth="1"/>
    <col min="12" max="12" width="13.2857142857143" customWidth="1"/>
  </cols>
  <sheetData>
    <row r="1" spans="1:18" ht="11.25" customHeight="1">
      <c r="A1" s="331"/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3"/>
      <c r="M1" s="15"/>
      <c r="N1" s="15"/>
      <c r="O1" s="15"/>
      <c r="P1" s="15"/>
      <c r="Q1" s="15"/>
      <c r="R1" s="15"/>
    </row>
    <row r="2" spans="1:27" ht="12.75">
      <c r="A2" s="710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2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713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714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1:12" ht="12.75">
      <c r="A4" s="334"/>
      <c r="L4" s="335"/>
    </row>
    <row r="5" spans="1:12" ht="12.75">
      <c r="A5" s="334"/>
      <c r="L5" s="335"/>
    </row>
    <row r="6" spans="1:14" ht="12.75">
      <c r="A6" s="334"/>
      <c r="L6" s="335"/>
      <c r="N6">
        <f>ACOS('BT-MX (LOTEAMENTO)'!G13)/PI()*180</f>
        <v>90</v>
      </c>
    </row>
    <row r="7" spans="1:14" ht="12.75">
      <c r="A7" s="336"/>
      <c r="B7" s="171"/>
      <c r="C7" s="171"/>
      <c r="D7" s="171"/>
      <c r="E7" s="171"/>
      <c r="F7" s="171"/>
      <c r="G7" s="171"/>
      <c r="H7" s="171"/>
      <c r="I7" s="171"/>
      <c r="J7" s="171"/>
      <c r="L7" s="337"/>
      <c r="N7" s="171">
        <f>COS(N6*PI()/180)</f>
        <v>6.123233995736766E-17</v>
      </c>
    </row>
    <row r="8" spans="1:12" ht="18">
      <c r="A8" s="715" t="s">
        <v>128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716"/>
    </row>
    <row r="9" spans="1:12" ht="13.5" thickBot="1">
      <c r="A9" s="95"/>
      <c r="B9" s="2"/>
      <c r="C9" s="2"/>
      <c r="D9" s="2"/>
      <c r="E9" s="2"/>
      <c r="F9" s="2"/>
      <c r="G9" s="2"/>
      <c r="H9" s="2"/>
      <c r="I9" s="2"/>
      <c r="J9" s="2"/>
      <c r="K9" s="2"/>
      <c r="L9" s="102"/>
    </row>
    <row r="10" spans="1:12" ht="33" customHeight="1">
      <c r="A10" s="707" t="s">
        <v>129</v>
      </c>
      <c r="B10" s="717" t="s">
        <v>130</v>
      </c>
      <c r="C10" s="138"/>
      <c r="D10" s="719" t="s">
        <v>131</v>
      </c>
      <c r="E10" s="719"/>
      <c r="F10" s="719" t="s">
        <v>132</v>
      </c>
      <c r="G10" s="721" t="s">
        <v>133</v>
      </c>
      <c r="H10" s="721"/>
      <c r="I10" s="722" t="s">
        <v>134</v>
      </c>
      <c r="J10" s="722"/>
      <c r="K10" s="722"/>
      <c r="L10" s="723"/>
    </row>
    <row r="11" spans="1:12" ht="15" customHeight="1" thickBot="1">
      <c r="A11" s="709"/>
      <c r="B11" s="718"/>
      <c r="C11" s="139"/>
      <c r="D11" s="414" t="s">
        <v>135</v>
      </c>
      <c r="E11" s="414" t="s">
        <v>121</v>
      </c>
      <c r="F11" s="720"/>
      <c r="G11" s="139" t="s">
        <v>135</v>
      </c>
      <c r="H11" s="139" t="s">
        <v>121</v>
      </c>
      <c r="I11" s="139">
        <v>1</v>
      </c>
      <c r="J11" s="139">
        <v>2</v>
      </c>
      <c r="K11" s="139">
        <v>3</v>
      </c>
      <c r="L11" s="140">
        <v>13</v>
      </c>
    </row>
    <row r="12" spans="1:12" ht="15" customHeight="1" thickBot="1">
      <c r="A12" s="707" t="s">
        <v>136</v>
      </c>
      <c r="B12" s="141" t="s">
        <v>137</v>
      </c>
      <c r="C12" s="142" t="s">
        <v>59</v>
      </c>
      <c r="D12" s="415">
        <v>3.8719999999999999</v>
      </c>
      <c r="E12" s="415">
        <f>D12</f>
        <v>3.8719999999999999</v>
      </c>
      <c r="F12" s="415">
        <v>0.1033</v>
      </c>
      <c r="G12" s="143">
        <v>55</v>
      </c>
      <c r="H12" s="143">
        <v>71</v>
      </c>
      <c r="I12" s="144">
        <f>300*((D12+D12)*COS(PI()*$N$6/180)+(F12+F12)*SIN(PI()*$N$6/180))/(EXEMPLO!$D$13^2)</f>
        <v>0.00042922437673130297</v>
      </c>
      <c r="J12" s="144"/>
      <c r="K12" s="144"/>
      <c r="L12" s="145"/>
    </row>
    <row r="13" spans="1:12" ht="15" customHeight="1" thickBot="1">
      <c r="A13" s="708"/>
      <c r="B13" s="146" t="s">
        <v>138</v>
      </c>
      <c r="C13" s="147" t="s">
        <v>70</v>
      </c>
      <c r="D13" s="416">
        <v>2.4489999999999998</v>
      </c>
      <c r="E13" s="416">
        <f t="shared" si="0" ref="E13:E27">D13</f>
        <v>2.4489999999999998</v>
      </c>
      <c r="F13" s="416">
        <v>0.1032</v>
      </c>
      <c r="G13" s="148">
        <v>88</v>
      </c>
      <c r="H13" s="148">
        <v>102</v>
      </c>
      <c r="I13" s="144">
        <f>300*((D13+D13)*COS(PI()*$N$6/180)+(F13+F13)*SIN(PI()*$N$6/180))/(EXEMPLO!$D$13^2)</f>
        <v>0.0004288088642659286</v>
      </c>
      <c r="J13" s="137"/>
      <c r="K13" s="137"/>
      <c r="L13" s="149"/>
    </row>
    <row r="14" spans="1:12" ht="15" customHeight="1" thickBot="1">
      <c r="A14" s="709"/>
      <c r="B14" s="150" t="s">
        <v>139</v>
      </c>
      <c r="C14" s="151" t="s">
        <v>76</v>
      </c>
      <c r="D14" s="417">
        <v>1.5389999999999999</v>
      </c>
      <c r="E14" s="417">
        <f t="shared" si="0"/>
        <v>1.5389999999999999</v>
      </c>
      <c r="F14" s="417">
        <v>0.1007</v>
      </c>
      <c r="G14" s="152">
        <v>122</v>
      </c>
      <c r="H14" s="152">
        <v>143</v>
      </c>
      <c r="I14" s="144">
        <f>300*((D14+D14)*COS(PI()*$N$6/180)+(F14+F14)*SIN(PI()*$N$6/180))/(EXEMPLO!$D$13^2)</f>
        <v>0.00041842105263157936</v>
      </c>
      <c r="J14" s="153"/>
      <c r="K14" s="153"/>
      <c r="L14" s="154"/>
    </row>
    <row r="15" spans="1:12" ht="15" customHeight="1" thickBot="1">
      <c r="A15" s="707" t="s">
        <v>140</v>
      </c>
      <c r="B15" s="141" t="s">
        <v>141</v>
      </c>
      <c r="C15" s="142" t="s">
        <v>59</v>
      </c>
      <c r="D15" s="415">
        <v>3.8719999999999999</v>
      </c>
      <c r="E15" s="415">
        <f t="shared" si="0"/>
        <v>3.8719999999999999</v>
      </c>
      <c r="F15" s="415">
        <v>0.1084</v>
      </c>
      <c r="G15" s="143">
        <v>55</v>
      </c>
      <c r="H15" s="143">
        <v>71</v>
      </c>
      <c r="I15" s="144"/>
      <c r="J15" s="144">
        <f>150*((D15+0.5*D15)*COS(PI()*$N$6/180)+(F15+0.5*F15)*SIN(PI()*$N$6/180))/(EXEMPLO!$D$13^2)</f>
        <v>0.00016890581717451562</v>
      </c>
      <c r="K15" s="144"/>
      <c r="L15" s="388">
        <v>0.0104</v>
      </c>
    </row>
    <row r="16" spans="1:12" ht="15" customHeight="1" thickBot="1">
      <c r="A16" s="708"/>
      <c r="B16" s="146" t="s">
        <v>142</v>
      </c>
      <c r="C16" s="147" t="s">
        <v>70</v>
      </c>
      <c r="D16" s="416">
        <v>2.4489999999999998</v>
      </c>
      <c r="E16" s="416">
        <f t="shared" si="0"/>
        <v>2.4489999999999998</v>
      </c>
      <c r="F16" s="416">
        <v>0.107</v>
      </c>
      <c r="G16" s="148">
        <v>88</v>
      </c>
      <c r="H16" s="148">
        <v>102</v>
      </c>
      <c r="I16" s="137"/>
      <c r="J16" s="144">
        <f>150*((D16+0.5*D16)*COS(PI()*$N$6/180)+(F16+0.5*F16)*SIN(PI()*$N$6/180))/(EXEMPLO!$D$13^2)</f>
        <v>0.00016672437673130217</v>
      </c>
      <c r="K16" s="137"/>
      <c r="L16" s="389">
        <v>0.00662</v>
      </c>
    </row>
    <row r="17" spans="1:12" ht="15" customHeight="1" thickBot="1">
      <c r="A17" s="708"/>
      <c r="B17" s="146" t="s">
        <v>143</v>
      </c>
      <c r="C17" s="147" t="s">
        <v>76</v>
      </c>
      <c r="D17" s="416">
        <v>1.5389999999999999</v>
      </c>
      <c r="E17" s="416">
        <f t="shared" si="0"/>
        <v>1.5389999999999999</v>
      </c>
      <c r="F17" s="416">
        <v>0.1047</v>
      </c>
      <c r="G17" s="148">
        <v>122</v>
      </c>
      <c r="H17" s="148">
        <v>143</v>
      </c>
      <c r="I17" s="137"/>
      <c r="J17" s="144">
        <f>150*((D17+0.5*D17)*COS(PI()*$N$6/180)+(F17+0.5*F17)*SIN(PI()*$N$6/180))/(EXEMPLO!$D$13^2)</f>
        <v>0.00016314058171745165</v>
      </c>
      <c r="K17" s="137"/>
      <c r="L17" s="389">
        <v>0.0042199999999999998</v>
      </c>
    </row>
    <row r="18" spans="1:12" ht="15" customHeight="1" thickBot="1">
      <c r="A18" s="708"/>
      <c r="B18" s="146" t="s">
        <v>144</v>
      </c>
      <c r="C18" s="147" t="s">
        <v>74</v>
      </c>
      <c r="D18" s="416">
        <v>1.113</v>
      </c>
      <c r="E18" s="416">
        <f t="shared" si="0"/>
        <v>1.113</v>
      </c>
      <c r="F18" s="416">
        <v>0.1048</v>
      </c>
      <c r="G18" s="148">
        <v>149</v>
      </c>
      <c r="H18" s="148">
        <v>175</v>
      </c>
      <c r="I18" s="137"/>
      <c r="J18" s="144">
        <f>150*((D18+0.5*D18)*COS(PI()*$N$6/180)+(F18+0.5*F18)*SIN(PI()*$N$6/180))/(EXEMPLO!$D$13^2)</f>
        <v>0.00016329639889196688</v>
      </c>
      <c r="K18" s="137"/>
      <c r="L18" s="389">
        <v>0.0031099999999999999</v>
      </c>
    </row>
    <row r="19" spans="1:12" ht="15" customHeight="1" thickBot="1">
      <c r="A19" s="708"/>
      <c r="B19" s="146" t="s">
        <v>145</v>
      </c>
      <c r="C19" s="147" t="s">
        <v>83</v>
      </c>
      <c r="D19" s="416">
        <v>0.82199999999999995</v>
      </c>
      <c r="E19" s="416">
        <f t="shared" si="0"/>
        <v>0.82199999999999995</v>
      </c>
      <c r="F19" s="416">
        <v>0.1028</v>
      </c>
      <c r="G19" s="148">
        <v>178</v>
      </c>
      <c r="H19" s="148">
        <v>211</v>
      </c>
      <c r="I19" s="137"/>
      <c r="J19" s="144">
        <f>150*((D19+0.5*D19)*COS(PI()*$N$6/180)+(F19+0.5*F19)*SIN(PI()*$N$6/180))/(EXEMPLO!$D$13^2)</f>
        <v>0.00016018005540166215</v>
      </c>
      <c r="K19" s="137"/>
      <c r="L19" s="389">
        <v>0.0023400000000000001</v>
      </c>
    </row>
    <row r="20" spans="1:12" ht="15" customHeight="1" thickBot="1">
      <c r="A20" s="709"/>
      <c r="B20" s="150" t="s">
        <v>146</v>
      </c>
      <c r="C20" s="151" t="s">
        <v>78</v>
      </c>
      <c r="D20" s="417">
        <v>0.56899999999999995</v>
      </c>
      <c r="E20" s="417">
        <f t="shared" si="0"/>
        <v>0.56899999999999995</v>
      </c>
      <c r="F20" s="417">
        <v>0.098000000000000004</v>
      </c>
      <c r="G20" s="152">
        <v>220</v>
      </c>
      <c r="H20" s="152">
        <v>268</v>
      </c>
      <c r="I20" s="153"/>
      <c r="J20" s="144">
        <f>150*((D20+0.5*D20)*COS(PI()*$N$6/180)+(F20+0.5*F20)*SIN(PI()*$N$6/180))/(EXEMPLO!$D$13^2)</f>
        <v>0.00015270083102493083</v>
      </c>
      <c r="K20" s="153"/>
      <c r="L20" s="390">
        <v>0.016799999999999999</v>
      </c>
    </row>
    <row r="21" spans="1:12" ht="15" customHeight="1" thickBot="1">
      <c r="A21" s="707" t="s">
        <v>147</v>
      </c>
      <c r="B21" s="141" t="s">
        <v>148</v>
      </c>
      <c r="C21" s="142" t="s">
        <v>59</v>
      </c>
      <c r="D21" s="415">
        <v>3.8719999999999999</v>
      </c>
      <c r="E21" s="415">
        <f t="shared" si="0"/>
        <v>3.8719999999999999</v>
      </c>
      <c r="F21" s="415">
        <v>0.1138</v>
      </c>
      <c r="G21" s="143">
        <v>43</v>
      </c>
      <c r="H21" s="143">
        <v>62</v>
      </c>
      <c r="I21" s="144"/>
      <c r="J21" s="144"/>
      <c r="K21" s="144">
        <f>100*(D21*COS(PI()*$N$6/180)+F21*SIN(PI()*$N$6/180))/(EXEMPLO!$D$13^2)</f>
        <v>7.8808864265928147E-05</v>
      </c>
      <c r="L21" s="145"/>
    </row>
    <row r="22" spans="1:12" ht="15" customHeight="1" thickBot="1">
      <c r="A22" s="708"/>
      <c r="B22" s="146" t="s">
        <v>149</v>
      </c>
      <c r="C22" s="147" t="s">
        <v>70</v>
      </c>
      <c r="D22" s="416">
        <v>2.4489999999999998</v>
      </c>
      <c r="E22" s="416">
        <f t="shared" si="0"/>
        <v>2.4489999999999998</v>
      </c>
      <c r="F22" s="416">
        <v>0.1087</v>
      </c>
      <c r="G22" s="148">
        <v>78</v>
      </c>
      <c r="H22" s="148">
        <v>90</v>
      </c>
      <c r="I22" s="137"/>
      <c r="J22" s="137"/>
      <c r="K22" s="144">
        <f>100*(D22*COS(PI()*$N$6/180)+F22*SIN(PI()*$N$6/180))/(EXEMPLO!$D$13^2)</f>
        <v>7.5277008310249412E-05</v>
      </c>
      <c r="L22" s="149"/>
    </row>
    <row r="23" spans="1:12" ht="15" customHeight="1" thickBot="1">
      <c r="A23" s="708"/>
      <c r="B23" s="146" t="s">
        <v>150</v>
      </c>
      <c r="C23" s="147" t="s">
        <v>76</v>
      </c>
      <c r="D23" s="416">
        <v>1.5389999999999999</v>
      </c>
      <c r="E23" s="416">
        <f t="shared" si="0"/>
        <v>1.5389999999999999</v>
      </c>
      <c r="F23" s="416">
        <v>0.1076</v>
      </c>
      <c r="G23" s="148">
        <v>104</v>
      </c>
      <c r="H23" s="148">
        <v>122</v>
      </c>
      <c r="I23" s="137"/>
      <c r="J23" s="137"/>
      <c r="K23" s="144">
        <f>100*(D23*COS(PI()*$N$6/180)+F23*SIN(PI()*$N$6/180))/(EXEMPLO!$D$13^2)</f>
        <v>7.4515235457063786E-05</v>
      </c>
      <c r="L23" s="149"/>
    </row>
    <row r="24" spans="1:12" ht="15" customHeight="1" thickBot="1">
      <c r="A24" s="708"/>
      <c r="B24" s="146" t="s">
        <v>151</v>
      </c>
      <c r="C24" s="147" t="s">
        <v>74</v>
      </c>
      <c r="D24" s="416">
        <v>1.1201000000000001</v>
      </c>
      <c r="E24" s="416">
        <f t="shared" si="0"/>
        <v>1.1201000000000001</v>
      </c>
      <c r="F24" s="416">
        <v>0.1135</v>
      </c>
      <c r="G24" s="148">
        <v>126</v>
      </c>
      <c r="H24" s="148">
        <v>148</v>
      </c>
      <c r="I24" s="137"/>
      <c r="J24" s="137"/>
      <c r="K24" s="144">
        <f>100*(D24*COS(PI()*$N$6/180)+F24*SIN(PI()*$N$6/180))/(EXEMPLO!$D$13^2)</f>
        <v>7.8601108033241046E-05</v>
      </c>
      <c r="L24" s="149"/>
    </row>
    <row r="25" spans="1:12" ht="15" customHeight="1" thickBot="1">
      <c r="A25" s="708"/>
      <c r="B25" s="146" t="s">
        <v>152</v>
      </c>
      <c r="C25" s="147" t="s">
        <v>83</v>
      </c>
      <c r="D25" s="416">
        <v>0.8327</v>
      </c>
      <c r="E25" s="416">
        <f t="shared" si="0"/>
        <v>0.8327</v>
      </c>
      <c r="F25" s="416">
        <v>0.1115</v>
      </c>
      <c r="G25" s="148">
        <v>152</v>
      </c>
      <c r="H25" s="148">
        <v>180</v>
      </c>
      <c r="I25" s="137"/>
      <c r="J25" s="137"/>
      <c r="K25" s="144">
        <f>100*(D25*COS(PI()*$N$6/180)+F25*SIN(PI()*$N$6/180))/(EXEMPLO!$D$13^2)</f>
        <v>7.7216066481994498E-05</v>
      </c>
      <c r="L25" s="149"/>
    </row>
    <row r="26" spans="1:12" ht="15" customHeight="1" thickBot="1">
      <c r="A26" s="708"/>
      <c r="B26" s="146" t="s">
        <v>153</v>
      </c>
      <c r="C26" s="147" t="s">
        <v>78</v>
      </c>
      <c r="D26" s="416">
        <v>0.57869999999999999</v>
      </c>
      <c r="E26" s="416">
        <f t="shared" si="0"/>
        <v>0.57869999999999999</v>
      </c>
      <c r="F26" s="416">
        <v>0.1067</v>
      </c>
      <c r="G26" s="148">
        <v>190</v>
      </c>
      <c r="H26" s="148">
        <v>225</v>
      </c>
      <c r="I26" s="137"/>
      <c r="J26" s="137"/>
      <c r="K26" s="144">
        <f>100*(D26*COS(PI()*$N$6/180)+F26*SIN(PI()*$N$6/180))/(EXEMPLO!$D$13^2)</f>
        <v>7.3891966759002809E-05</v>
      </c>
      <c r="L26" s="149"/>
    </row>
    <row r="27" spans="1:12" ht="15" customHeight="1" thickBot="1">
      <c r="A27" s="709"/>
      <c r="B27" s="150" t="s">
        <v>154</v>
      </c>
      <c r="C27" s="151" t="s">
        <v>86</v>
      </c>
      <c r="D27" s="417">
        <v>0.34239999999999998</v>
      </c>
      <c r="E27" s="417">
        <f t="shared" si="0"/>
        <v>0.34239999999999998</v>
      </c>
      <c r="F27" s="417">
        <v>0.098799999999999999</v>
      </c>
      <c r="G27" s="152">
        <v>268</v>
      </c>
      <c r="H27" s="152">
        <v>319</v>
      </c>
      <c r="I27" s="153"/>
      <c r="J27" s="153"/>
      <c r="K27" s="144">
        <f>100*(D27*COS(PI()*$N$6/180)+F27*SIN(PI()*$N$6/180))/(EXEMPLO!$D$13^2)</f>
        <v>6.842105263157896E-05</v>
      </c>
      <c r="L27" s="154"/>
    </row>
    <row r="28" spans="3:3" ht="12.75">
      <c r="C28" s="136"/>
    </row>
  </sheetData>
  <mergeCells count="12">
    <mergeCell ref="A12:A14"/>
    <mergeCell ref="A15:A20"/>
    <mergeCell ref="A21:A27"/>
    <mergeCell ref="A2:L2"/>
    <mergeCell ref="A3:L3"/>
    <mergeCell ref="A8:L8"/>
    <mergeCell ref="A10:A11"/>
    <mergeCell ref="B10:B11"/>
    <mergeCell ref="D10:E10"/>
    <mergeCell ref="F10:F11"/>
    <mergeCell ref="G10:H10"/>
    <mergeCell ref="I10:L10"/>
  </mergeCells>
  <printOptions horizontalCentered="1"/>
  <pageMargins left="0.393700787401575" right="0.393700787401575" top="0.78740157480315" bottom="0.78740157480315" header="0.511811023622047" footer="0.511811023622047"/>
  <pageSetup horizontalDpi="300" verticalDpi="300" orientation="landscape" paperSize="9" scale="90" r:id="rId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6"/>
  <dimension ref="A1:O45"/>
  <sheetViews>
    <sheetView view="pageBreakPreview" zoomScaleNormal="100" zoomScaleSheetLayoutView="100" workbookViewId="0" topLeftCell="A15">
      <selection pane="topLeft" activeCell="C14" sqref="C14"/>
    </sheetView>
  </sheetViews>
  <sheetFormatPr defaultRowHeight="12.75"/>
  <sheetData>
    <row r="1" spans="1:15" ht="12.7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2.7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2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2.75">
      <c r="A4" s="2"/>
      <c r="B4" s="729" t="s">
        <v>267</v>
      </c>
      <c r="C4" s="729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ht="12.75">
      <c r="A5" s="2"/>
      <c r="B5" s="8"/>
      <c r="C5" s="8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2.75">
      <c r="A6" s="2"/>
      <c r="B6" s="8"/>
      <c r="C6" s="8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2.75">
      <c r="A7" s="2"/>
      <c r="B7" s="8"/>
      <c r="C7" s="8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ht="12.7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12.7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2.7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ht="12.7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2.7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ht="12.7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ht="12.7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ht="12.75">
      <c r="A15" s="2"/>
      <c r="B15" s="11"/>
      <c r="C15" s="11"/>
      <c r="D15" s="1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ht="12.75">
      <c r="A16" s="2"/>
      <c r="B16" s="11"/>
      <c r="C16" s="11"/>
      <c r="D16" s="1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ht="12.75">
      <c r="A17" s="2"/>
      <c r="B17" s="11"/>
      <c r="C17" s="11"/>
      <c r="D17" s="1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ht="12.75">
      <c r="A18" s="2"/>
      <c r="B18" s="802" t="s">
        <v>268</v>
      </c>
      <c r="C18" s="802"/>
      <c r="D18" s="13"/>
      <c r="E18" s="2"/>
      <c r="F18" s="2"/>
      <c r="G18" s="11" t="s">
        <v>269</v>
      </c>
      <c r="H18" s="11"/>
      <c r="I18" s="11"/>
      <c r="J18" s="2"/>
      <c r="K18" s="2"/>
      <c r="L18" s="11" t="s">
        <v>270</v>
      </c>
      <c r="M18" s="11"/>
      <c r="N18" s="11"/>
      <c r="O18" s="2"/>
    </row>
    <row r="19" spans="1:15" ht="12.75">
      <c r="A19" s="2"/>
      <c r="B19" s="11"/>
      <c r="C19" s="11"/>
      <c r="D19" s="1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4.25">
      <c r="A20" s="2"/>
      <c r="B20" s="802" t="s">
        <v>271</v>
      </c>
      <c r="C20" s="802"/>
      <c r="D20" s="802"/>
      <c r="E20" s="2"/>
      <c r="F20" s="2"/>
      <c r="G20" s="802" t="s">
        <v>272</v>
      </c>
      <c r="H20" s="802"/>
      <c r="I20" s="802"/>
      <c r="J20" s="2"/>
      <c r="K20" s="2"/>
      <c r="L20" s="802" t="s">
        <v>273</v>
      </c>
      <c r="M20" s="802"/>
      <c r="N20" s="802"/>
      <c r="O20" s="2"/>
    </row>
    <row r="21" spans="1:15" ht="12.75">
      <c r="A21" s="2"/>
      <c r="B21" s="11"/>
      <c r="C21" s="11"/>
      <c r="D21" s="13"/>
      <c r="E21" s="2"/>
      <c r="F21" s="2"/>
      <c r="G21" s="11"/>
      <c r="H21" s="11"/>
      <c r="I21" s="13"/>
      <c r="J21" s="2"/>
      <c r="K21" s="2"/>
      <c r="L21" s="2"/>
      <c r="M21" s="2"/>
      <c r="N21" s="2"/>
      <c r="O21" s="2"/>
    </row>
    <row r="22" spans="1:15" ht="14.25">
      <c r="A22" s="2"/>
      <c r="B22" s="802" t="s">
        <v>274</v>
      </c>
      <c r="C22" s="802"/>
      <c r="D22" s="802"/>
      <c r="E22" s="2"/>
      <c r="F22" s="2"/>
      <c r="G22" s="802" t="s">
        <v>275</v>
      </c>
      <c r="H22" s="802"/>
      <c r="I22" s="802"/>
      <c r="J22" s="2"/>
      <c r="K22" s="2"/>
      <c r="L22" s="802" t="s">
        <v>276</v>
      </c>
      <c r="M22" s="802"/>
      <c r="N22" s="802"/>
      <c r="O22" s="2"/>
    </row>
    <row r="23" spans="1:15" ht="12.75">
      <c r="A23" s="2"/>
      <c r="B23" s="11"/>
      <c r="C23" s="11"/>
      <c r="D23" s="13"/>
      <c r="E23" s="2"/>
      <c r="F23" s="2"/>
      <c r="G23" s="11"/>
      <c r="H23" s="11"/>
      <c r="I23" s="13"/>
      <c r="J23" s="2"/>
      <c r="K23" s="2"/>
      <c r="L23" s="2"/>
      <c r="M23" s="2"/>
      <c r="N23" s="2"/>
      <c r="O23" s="2"/>
    </row>
    <row r="24" spans="1:15" ht="12.75">
      <c r="A24" s="2"/>
      <c r="B24" s="802" t="s">
        <v>277</v>
      </c>
      <c r="C24" s="802"/>
      <c r="D24" s="802"/>
      <c r="E24" s="2"/>
      <c r="F24" s="2"/>
      <c r="G24" s="802" t="s">
        <v>278</v>
      </c>
      <c r="H24" s="802"/>
      <c r="I24" s="802"/>
      <c r="J24" s="2"/>
      <c r="K24" s="2"/>
      <c r="L24" s="2"/>
      <c r="M24" s="2"/>
      <c r="N24" s="2"/>
      <c r="O24" s="2"/>
    </row>
    <row r="25" spans="1:15" ht="12.75">
      <c r="A25" s="2"/>
      <c r="B25" s="11"/>
      <c r="C25" s="11"/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ht="12.7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ht="12.75">
      <c r="A27" s="2"/>
      <c r="B27" s="729" t="s">
        <v>279</v>
      </c>
      <c r="C27" s="729"/>
      <c r="D27" s="729"/>
      <c r="E27" s="729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2.75">
      <c r="A28" s="2"/>
      <c r="B28" s="11"/>
      <c r="C28" s="11"/>
      <c r="D28" s="1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2.75">
      <c r="A29" s="2"/>
      <c r="B29" s="2"/>
      <c r="C29" s="438"/>
      <c r="D29" s="43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2.7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ht="15">
      <c r="A31" s="2"/>
      <c r="B31" s="2"/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ht="12.7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12.7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ht="12.7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ht="12.7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ht="12.7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ht="12.7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ht="12.75">
      <c r="A38" s="2"/>
      <c r="B38" s="802" t="s">
        <v>268</v>
      </c>
      <c r="C38" s="802"/>
      <c r="D38" s="2"/>
      <c r="E38" s="2"/>
      <c r="F38" s="2"/>
      <c r="G38" s="802" t="s">
        <v>269</v>
      </c>
      <c r="H38" s="802"/>
      <c r="I38" s="802"/>
      <c r="J38" s="2"/>
      <c r="K38" s="2"/>
      <c r="L38" s="802" t="s">
        <v>270</v>
      </c>
      <c r="M38" s="802"/>
      <c r="N38" s="802"/>
      <c r="O38" s="802"/>
    </row>
    <row r="39" spans="1:15" ht="12.75">
      <c r="A39" s="2"/>
      <c r="B39" s="11"/>
      <c r="C39" s="11"/>
      <c r="D39" s="2"/>
      <c r="E39" s="2"/>
      <c r="F39" s="2"/>
      <c r="G39" s="802" t="s">
        <v>280</v>
      </c>
      <c r="H39" s="802"/>
      <c r="I39" s="802"/>
      <c r="J39" s="2"/>
      <c r="K39" s="2"/>
      <c r="L39" s="802" t="s">
        <v>281</v>
      </c>
      <c r="M39" s="802"/>
      <c r="N39" s="802"/>
      <c r="O39" s="2"/>
    </row>
    <row r="40" spans="1:15" ht="12.7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ht="14.25">
      <c r="A41" s="2"/>
      <c r="B41" s="803" t="s">
        <v>282</v>
      </c>
      <c r="C41" s="803"/>
      <c r="D41" s="803"/>
      <c r="E41" s="803"/>
      <c r="F41" s="2"/>
      <c r="G41" s="802" t="s">
        <v>272</v>
      </c>
      <c r="H41" s="802"/>
      <c r="I41" s="802"/>
      <c r="J41" s="2"/>
      <c r="K41" s="2"/>
      <c r="L41" s="802" t="s">
        <v>273</v>
      </c>
      <c r="M41" s="802"/>
      <c r="N41" s="802"/>
      <c r="O41" s="2"/>
    </row>
    <row r="42" spans="1:15" ht="12.75">
      <c r="A42" s="2"/>
      <c r="B42" s="11"/>
      <c r="C42" s="11"/>
      <c r="D42" s="13"/>
      <c r="E42" s="2"/>
      <c r="F42" s="2"/>
      <c r="G42" s="11"/>
      <c r="H42" s="11"/>
      <c r="I42" s="13"/>
      <c r="J42" s="2"/>
      <c r="K42" s="2"/>
      <c r="L42" s="2"/>
      <c r="M42" s="2"/>
      <c r="N42" s="2"/>
      <c r="O42" s="2"/>
    </row>
    <row r="43" spans="1:15" ht="14.25">
      <c r="A43" s="2"/>
      <c r="B43" s="802" t="s">
        <v>283</v>
      </c>
      <c r="C43" s="802"/>
      <c r="D43" s="802"/>
      <c r="E43" s="802"/>
      <c r="F43" s="2"/>
      <c r="G43" s="802" t="s">
        <v>283</v>
      </c>
      <c r="H43" s="802"/>
      <c r="I43" s="802"/>
      <c r="J43" s="2"/>
      <c r="K43" s="2"/>
      <c r="L43" s="802" t="s">
        <v>284</v>
      </c>
      <c r="M43" s="802"/>
      <c r="N43" s="802"/>
      <c r="O43" s="2"/>
    </row>
    <row r="44" spans="1:15" ht="12.75">
      <c r="A44" s="2"/>
      <c r="B44" s="11"/>
      <c r="C44" s="11"/>
      <c r="D44" s="13"/>
      <c r="E44" s="2"/>
      <c r="F44" s="2"/>
      <c r="G44" s="11"/>
      <c r="H44" s="11"/>
      <c r="I44" s="13"/>
      <c r="J44" s="2"/>
      <c r="K44" s="2"/>
      <c r="L44" s="2"/>
      <c r="M44" s="2"/>
      <c r="N44" s="2"/>
      <c r="O44" s="2"/>
    </row>
    <row r="45" spans="1:15" ht="13.5" thickBot="1">
      <c r="A45" s="2"/>
      <c r="B45" s="802" t="s">
        <v>285</v>
      </c>
      <c r="C45" s="802"/>
      <c r="D45" s="802"/>
      <c r="E45" s="802"/>
      <c r="F45" s="2"/>
      <c r="G45" s="802" t="s">
        <v>284</v>
      </c>
      <c r="H45" s="802"/>
      <c r="I45" s="802"/>
      <c r="J45" s="2"/>
      <c r="K45" s="2"/>
      <c r="L45" s="2"/>
      <c r="M45" s="2"/>
      <c r="N45" s="2"/>
      <c r="O45" s="2"/>
    </row>
  </sheetData>
  <customSheetViews>
    <customSheetView guid="{adcfddaa-af71-42ce-8fd7-7abb67cb940b}" printArea="1" scale="60" showPageBreaks="1" topLeftCell="A1" view="pageBreakPreview">
      <selection pane="topLeft" activeCell="M40" sqref="M40"/>
      <pageMargins left="0" right="0" top="0" bottom="0" header="0" footer="0"/>
      <printOptions horizontalCentered="1" verticalCentered="1"/>
      <pageSetup horizontalDpi="300" verticalDpi="300" orientation="landscape" paperSize="1" scale="75" r:id="rId3"/>
      <headerFooter alignWithMargins="0"/>
    </customSheetView>
  </customSheetViews>
  <mergeCells count="24">
    <mergeCell ref="L38:O38"/>
    <mergeCell ref="L20:N20"/>
    <mergeCell ref="L22:N22"/>
    <mergeCell ref="L39:N39"/>
    <mergeCell ref="G45:I45"/>
    <mergeCell ref="L41:N41"/>
    <mergeCell ref="L43:N43"/>
    <mergeCell ref="B4:C4"/>
    <mergeCell ref="B18:C18"/>
    <mergeCell ref="G22:I22"/>
    <mergeCell ref="G24:I24"/>
    <mergeCell ref="B24:D24"/>
    <mergeCell ref="G20:I20"/>
    <mergeCell ref="B20:D20"/>
    <mergeCell ref="B22:D22"/>
    <mergeCell ref="B45:E45"/>
    <mergeCell ref="B38:C38"/>
    <mergeCell ref="G38:I38"/>
    <mergeCell ref="G39:I39"/>
    <mergeCell ref="B27:E27"/>
    <mergeCell ref="G41:I41"/>
    <mergeCell ref="B41:E41"/>
    <mergeCell ref="B43:E43"/>
    <mergeCell ref="G43:I43"/>
  </mergeCells>
  <printOptions horizontalCentered="1"/>
  <pageMargins left="0" right="0" top="0" bottom="0" header="0" footer="0"/>
  <pageSetup horizontalDpi="300" verticalDpi="300" orientation="landscape" paperSize="9" scale="90" r:id="rId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7"/>
  <dimension ref="A1:N27"/>
  <sheetViews>
    <sheetView view="pageBreakPreview" zoomScale="75" zoomScaleNormal="100" zoomScaleSheetLayoutView="75" workbookViewId="0" topLeftCell="A1">
      <selection pane="topLeft" activeCell="D20" sqref="D20:H20"/>
    </sheetView>
  </sheetViews>
  <sheetFormatPr defaultColWidth="9.28428571428571" defaultRowHeight="12.75"/>
  <cols>
    <col min="2" max="2" width="10.7142857142857" customWidth="1"/>
    <col min="14" max="14" width="11" customWidth="1"/>
  </cols>
  <sheetData>
    <row r="1" spans="1:14" ht="12.7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2.7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2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2.7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2.7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2.75">
      <c r="A6" s="729" t="s">
        <v>267</v>
      </c>
      <c r="B6" s="729"/>
      <c r="C6" s="2"/>
      <c r="D6" s="2"/>
      <c r="E6" s="2"/>
      <c r="F6" s="2"/>
      <c r="G6" s="2"/>
      <c r="H6" s="2"/>
      <c r="I6" s="2"/>
      <c r="J6" s="2" t="s">
        <v>286</v>
      </c>
      <c r="K6" s="2"/>
      <c r="L6" s="2"/>
      <c r="M6" s="2"/>
      <c r="N6" s="2"/>
    </row>
    <row r="7" spans="1:14" ht="12.75">
      <c r="A7" s="8"/>
      <c r="B7" s="8"/>
      <c r="C7" s="2"/>
      <c r="D7" s="2"/>
      <c r="E7" s="2"/>
      <c r="F7" s="2"/>
      <c r="G7" s="2"/>
      <c r="H7" s="2"/>
      <c r="I7" s="2"/>
      <c r="J7" s="2"/>
      <c r="K7" s="2" t="s">
        <v>287</v>
      </c>
      <c r="L7" s="2"/>
      <c r="M7" s="2"/>
      <c r="N7" s="2"/>
    </row>
    <row r="8" spans="1:14" ht="12.75">
      <c r="A8" s="802" t="s">
        <v>268</v>
      </c>
      <c r="B8" s="802"/>
      <c r="C8" s="13"/>
      <c r="D8" s="803" t="s">
        <v>288</v>
      </c>
      <c r="E8" s="803"/>
      <c r="F8" s="803"/>
      <c r="G8" s="803"/>
      <c r="H8" s="438"/>
      <c r="I8" s="2"/>
      <c r="J8" s="2"/>
      <c r="K8" s="2" t="s">
        <v>289</v>
      </c>
      <c r="L8" s="2"/>
      <c r="M8" s="2"/>
      <c r="N8" s="2"/>
    </row>
    <row r="9" spans="1:14" ht="12" customHeight="1">
      <c r="A9" s="2"/>
      <c r="B9" s="438"/>
      <c r="C9" s="438"/>
      <c r="D9" s="438"/>
      <c r="E9" s="439"/>
      <c r="F9" s="439"/>
      <c r="G9" s="438"/>
      <c r="H9" s="438"/>
      <c r="I9" s="2"/>
      <c r="J9" s="2"/>
      <c r="K9" s="2" t="s">
        <v>290</v>
      </c>
      <c r="L9" s="2"/>
      <c r="M9" s="2"/>
      <c r="N9" s="2"/>
    </row>
    <row r="10" spans="1:14" ht="12.75">
      <c r="A10" s="802" t="s">
        <v>269</v>
      </c>
      <c r="B10" s="802"/>
      <c r="C10" s="802"/>
      <c r="D10" s="803" t="s">
        <v>291</v>
      </c>
      <c r="E10" s="803"/>
      <c r="F10" s="803"/>
      <c r="G10" s="803"/>
      <c r="H10" s="803"/>
      <c r="I10" s="803"/>
      <c r="J10" s="2"/>
      <c r="K10" s="2" t="s">
        <v>292</v>
      </c>
      <c r="L10" s="2"/>
      <c r="M10" s="2"/>
      <c r="N10" s="2"/>
    </row>
    <row r="11" spans="1:14" ht="11.25" customHeight="1">
      <c r="A11" s="2"/>
      <c r="B11" s="14"/>
      <c r="C11" s="14"/>
      <c r="D11" s="14"/>
      <c r="E11" s="439"/>
      <c r="F11" s="439"/>
      <c r="G11" s="439"/>
      <c r="H11" s="14"/>
      <c r="I11" s="2"/>
      <c r="J11" s="2"/>
      <c r="K11" s="2" t="s">
        <v>293</v>
      </c>
      <c r="L11" s="2"/>
      <c r="M11" s="2"/>
      <c r="N11" s="2"/>
    </row>
    <row r="12" spans="1:14" ht="14.25">
      <c r="A12" s="802" t="s">
        <v>270</v>
      </c>
      <c r="B12" s="802"/>
      <c r="C12" s="802"/>
      <c r="D12" s="803" t="s">
        <v>294</v>
      </c>
      <c r="E12" s="803"/>
      <c r="F12" s="803"/>
      <c r="G12" s="803"/>
      <c r="H12" s="803"/>
      <c r="I12" s="2"/>
      <c r="J12" s="2"/>
      <c r="K12" s="2" t="s">
        <v>295</v>
      </c>
      <c r="L12" s="2"/>
      <c r="M12" s="2"/>
      <c r="N12" s="2"/>
    </row>
    <row r="13" spans="1:14" ht="12" customHeight="1">
      <c r="A13" s="2"/>
      <c r="B13" s="2"/>
      <c r="C13" s="2"/>
      <c r="D13" s="2"/>
      <c r="E13" s="439"/>
      <c r="F13" s="439"/>
      <c r="G13" s="439"/>
      <c r="H13" s="2"/>
      <c r="I13" s="2"/>
      <c r="J13" s="2"/>
      <c r="K13" s="2" t="s">
        <v>296</v>
      </c>
      <c r="L13" s="2"/>
      <c r="M13" s="2"/>
      <c r="N13" s="2"/>
    </row>
    <row r="14" spans="1:14" ht="12.75">
      <c r="A14" s="729" t="s">
        <v>297</v>
      </c>
      <c r="B14" s="729"/>
      <c r="C14" s="729"/>
      <c r="D14" s="729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12.7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2.75">
      <c r="A16" s="11" t="s">
        <v>268</v>
      </c>
      <c r="B16" s="2"/>
      <c r="C16" s="2"/>
      <c r="D16" s="803" t="s">
        <v>298</v>
      </c>
      <c r="E16" s="803"/>
      <c r="F16" s="803"/>
      <c r="G16" s="803"/>
      <c r="H16" s="2"/>
      <c r="I16" s="2"/>
      <c r="J16" s="2"/>
      <c r="K16" s="2"/>
      <c r="L16" s="2"/>
      <c r="M16" s="2"/>
      <c r="N16" s="2"/>
    </row>
    <row r="17" spans="1:14" ht="12.7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12.75">
      <c r="A18" s="802" t="s">
        <v>269</v>
      </c>
      <c r="B18" s="802"/>
      <c r="C18" s="802"/>
      <c r="D18" s="803" t="s">
        <v>299</v>
      </c>
      <c r="E18" s="803"/>
      <c r="F18" s="803"/>
      <c r="G18" s="803"/>
      <c r="H18" s="803"/>
      <c r="I18" s="803"/>
      <c r="J18" s="2"/>
      <c r="K18" s="2"/>
      <c r="L18" s="2"/>
      <c r="M18" s="2"/>
      <c r="N18" s="2"/>
    </row>
    <row r="19" spans="1:14" ht="12.7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2.75">
      <c r="A20" s="802" t="s">
        <v>270</v>
      </c>
      <c r="B20" s="802"/>
      <c r="C20" s="802"/>
      <c r="D20" s="803" t="s">
        <v>300</v>
      </c>
      <c r="E20" s="803"/>
      <c r="F20" s="803"/>
      <c r="G20" s="803"/>
      <c r="H20" s="803"/>
      <c r="I20" s="2"/>
      <c r="J20" s="2"/>
      <c r="K20" s="2"/>
      <c r="L20" s="2"/>
      <c r="M20" s="2"/>
      <c r="N20" s="2"/>
    </row>
    <row r="21" spans="1:14" ht="12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12.75">
      <c r="A22" s="729" t="s">
        <v>301</v>
      </c>
      <c r="B22" s="729"/>
      <c r="C22" s="729"/>
      <c r="D22" s="729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2.7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ht="12.75">
      <c r="A24" s="802" t="s">
        <v>280</v>
      </c>
      <c r="B24" s="802"/>
      <c r="C24" s="802"/>
      <c r="D24" s="803" t="s">
        <v>302</v>
      </c>
      <c r="E24" s="803"/>
      <c r="F24" s="803"/>
      <c r="G24" s="803"/>
      <c r="H24" s="803"/>
      <c r="I24" s="803"/>
      <c r="J24" s="2"/>
      <c r="K24" s="2"/>
      <c r="L24" s="2"/>
      <c r="M24" s="2"/>
      <c r="N24" s="2"/>
    </row>
    <row r="25" spans="1:14" ht="12.7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ht="12.75">
      <c r="A26" s="802" t="s">
        <v>281</v>
      </c>
      <c r="B26" s="802"/>
      <c r="C26" s="802"/>
      <c r="D26" s="803" t="s">
        <v>303</v>
      </c>
      <c r="E26" s="803"/>
      <c r="F26" s="803"/>
      <c r="G26" s="803"/>
      <c r="H26" s="803"/>
      <c r="I26" s="2"/>
      <c r="J26" s="2"/>
      <c r="K26" s="2"/>
      <c r="L26" s="2"/>
      <c r="M26" s="2"/>
      <c r="N26" s="2"/>
    </row>
    <row r="27" spans="1:14" ht="12.7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36" ht="9" customHeight="1"/>
    <row r="38" ht="9" customHeight="1"/>
    <row r="40" ht="9.75" customHeight="1"/>
    <row r="44" ht="7.5" customHeight="1"/>
    <row r="46" ht="7.5" customHeight="1"/>
    <row r="48" ht="7.5" customHeight="1"/>
    <row r="50" ht="7.5" customHeight="1"/>
    <row r="67" ht="7.5" customHeight="1"/>
    <row r="69" ht="7.5" customHeight="1"/>
    <row r="71" ht="6.75" customHeight="1"/>
  </sheetData>
  <customSheetViews>
    <customSheetView guid="{adcfddaa-af71-42ce-8fd7-7abb67cb940b}" printArea="1" scale="60" showPageBreaks="1" topLeftCell="A1" view="pageBreakPreview">
      <selection pane="topLeft" activeCell="M40" sqref="M40"/>
      <rowBreaks count="1" manualBreakCount="1">
        <brk id="27" max="13" man="1"/>
      </rowBreaks>
      <pageMargins left="0" right="0" top="0" bottom="0" header="0" footer="0"/>
      <printOptions horizontalCentered="1" verticalCentered="1"/>
      <pageSetup horizontalDpi="300" verticalDpi="300" orientation="landscape" paperSize="9" r:id="rId3"/>
      <headerFooter alignWithMargins="0"/>
    </customSheetView>
  </customSheetViews>
  <mergeCells count="18">
    <mergeCell ref="D16:G16"/>
    <mergeCell ref="D18:I18"/>
    <mergeCell ref="D20:H20"/>
    <mergeCell ref="A22:D22"/>
    <mergeCell ref="A6:B6"/>
    <mergeCell ref="D8:G8"/>
    <mergeCell ref="D10:I10"/>
    <mergeCell ref="D12:H12"/>
    <mergeCell ref="A14:D14"/>
    <mergeCell ref="A8:B8"/>
    <mergeCell ref="A12:C12"/>
    <mergeCell ref="A10:C10"/>
    <mergeCell ref="A24:C24"/>
    <mergeCell ref="A26:C26"/>
    <mergeCell ref="D26:H26"/>
    <mergeCell ref="D24:I24"/>
    <mergeCell ref="A18:C18"/>
    <mergeCell ref="A20:C20"/>
  </mergeCells>
  <printOptions horizontalCentered="1"/>
  <pageMargins left="0" right="0" top="0" bottom="0" header="0" footer="0"/>
  <pageSetup horizontalDpi="300" verticalDpi="300" orientation="landscape" paperSize="9" scale="110" r:id="rId2"/>
  <headerFooter alignWithMargins="0"/>
  <rowBreaks count="1" manualBreakCount="1">
    <brk id="27" max="13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9"/>
  <dimension ref="A1:K65"/>
  <sheetViews>
    <sheetView workbookViewId="0" topLeftCell="A1">
      <selection pane="topLeft" activeCell="C14" sqref="C14"/>
    </sheetView>
  </sheetViews>
  <sheetFormatPr defaultRowHeight="12.75"/>
  <cols>
    <col min="1" max="1" width="17.2857142857143" customWidth="1"/>
    <col min="2" max="2" width="13.7142857142857" bestFit="1" customWidth="1"/>
    <col min="3" max="3" width="14.7142857142857" bestFit="1" customWidth="1"/>
    <col min="4" max="4" width="21.5714285714286" customWidth="1"/>
  </cols>
  <sheetData>
    <row r="1" spans="1:3" ht="12.75">
      <c r="A1" s="339" t="s">
        <v>304</v>
      </c>
      <c r="B1" s="339" t="s">
        <v>305</v>
      </c>
      <c r="C1" s="339" t="s">
        <v>237</v>
      </c>
    </row>
    <row r="2" spans="1:11" ht="12.75">
      <c r="A2" s="348">
        <v>10</v>
      </c>
      <c r="B2" s="348">
        <v>10</v>
      </c>
      <c r="C2" s="348">
        <v>10</v>
      </c>
      <c r="F2">
        <v>380</v>
      </c>
      <c r="G2">
        <v>220</v>
      </c>
      <c r="H2">
        <v>34.50</v>
      </c>
      <c r="I2" s="338" t="s">
        <v>26</v>
      </c>
      <c r="J2" s="338" t="s">
        <v>306</v>
      </c>
      <c r="K2" s="338" t="s">
        <v>135</v>
      </c>
    </row>
    <row r="3" spans="1:11" ht="12.75">
      <c r="A3" s="348">
        <v>16</v>
      </c>
      <c r="B3" s="348">
        <v>16</v>
      </c>
      <c r="C3" s="348">
        <v>16</v>
      </c>
      <c r="F3">
        <v>220</v>
      </c>
      <c r="G3">
        <v>127</v>
      </c>
      <c r="H3">
        <v>13.80</v>
      </c>
      <c r="I3" s="338" t="s">
        <v>27</v>
      </c>
      <c r="J3" s="338" t="s">
        <v>307</v>
      </c>
      <c r="K3" s="338" t="s">
        <v>121</v>
      </c>
    </row>
    <row r="4" spans="1:3" ht="12.75">
      <c r="A4" s="348">
        <v>25</v>
      </c>
      <c r="B4" s="348">
        <v>25</v>
      </c>
      <c r="C4" s="348">
        <v>25</v>
      </c>
    </row>
    <row r="5" spans="1:3" ht="12.75">
      <c r="A5" s="348"/>
      <c r="B5" s="348">
        <v>35</v>
      </c>
      <c r="C5" s="348">
        <v>35</v>
      </c>
    </row>
    <row r="6" spans="1:3" ht="12.75">
      <c r="A6" s="348"/>
      <c r="B6" s="348">
        <v>50</v>
      </c>
      <c r="C6" s="348">
        <v>50</v>
      </c>
    </row>
    <row r="7" spans="1:3" ht="12.75">
      <c r="A7" s="348"/>
      <c r="B7" s="348">
        <v>70</v>
      </c>
      <c r="C7" s="348">
        <v>70</v>
      </c>
    </row>
    <row r="8" spans="1:3" ht="12.75">
      <c r="A8" s="348"/>
      <c r="B8" s="349"/>
      <c r="C8" s="348">
        <v>120</v>
      </c>
    </row>
    <row r="9" spans="1:1" ht="12.75">
      <c r="A9" s="1"/>
    </row>
    <row r="10" spans="1:1" ht="12.75">
      <c r="A10" s="1"/>
    </row>
    <row r="11" spans="1:1" ht="12.75">
      <c r="A11" s="1"/>
    </row>
    <row r="12" spans="1:1" ht="12.75">
      <c r="A12" s="1"/>
    </row>
    <row r="13" spans="1:1" ht="12.75">
      <c r="A13" s="1"/>
    </row>
    <row r="14" spans="1:1" ht="13.5" thickBot="1">
      <c r="A14" s="1"/>
    </row>
    <row r="15" spans="2:3" ht="51.75" thickBot="1">
      <c r="B15" s="340" t="s">
        <v>125</v>
      </c>
      <c r="C15" s="341" t="s">
        <v>126</v>
      </c>
    </row>
    <row r="16" spans="1:5" ht="13.5" thickBot="1">
      <c r="A16" s="342">
        <v>150</v>
      </c>
      <c r="B16" s="346">
        <v>0</v>
      </c>
      <c r="C16" s="343">
        <v>1.96</v>
      </c>
      <c r="D16" s="338">
        <v>600</v>
      </c>
      <c r="E16">
        <f>IF(D16="","",VLOOKUP(D16,$B$16:$C$64,2,TRUE))</f>
        <v>4</v>
      </c>
    </row>
    <row r="17" spans="1:5" ht="13.5" thickBot="1">
      <c r="A17" s="342">
        <v>160</v>
      </c>
      <c r="B17" s="342">
        <f>A16+0.1</f>
        <v>150.09999999999999</v>
      </c>
      <c r="C17" s="343">
        <v>2.02</v>
      </c>
      <c r="E17" t="str">
        <f t="shared" si="0" ref="E17:E64">IF(D17="","",VLOOKUP(D17,$B$16:$C$64,2,TRUE))</f>
        <v/>
      </c>
    </row>
    <row r="18" spans="1:5" ht="13.5" thickBot="1">
      <c r="A18" s="342">
        <v>170</v>
      </c>
      <c r="B18" s="342">
        <f t="shared" si="1" ref="B18:B61">A17+0.1</f>
        <v>160.09999999999999</v>
      </c>
      <c r="C18" s="343">
        <v>2.0699999999999998</v>
      </c>
      <c r="E18" t="str">
        <f t="shared" si="0"/>
        <v/>
      </c>
    </row>
    <row r="19" spans="1:5" ht="13.5" thickBot="1">
      <c r="A19" s="342">
        <v>180</v>
      </c>
      <c r="B19" s="342">
        <f t="shared" si="1"/>
        <v>170.09999999999999</v>
      </c>
      <c r="C19" s="343">
        <v>2.13</v>
      </c>
      <c r="E19" t="str">
        <f t="shared" si="0"/>
        <v/>
      </c>
    </row>
    <row r="20" spans="1:5" ht="13.5" thickBot="1">
      <c r="A20" s="342">
        <v>190</v>
      </c>
      <c r="B20" s="342">
        <f t="shared" si="1"/>
        <v>180.09999999999999</v>
      </c>
      <c r="C20" s="343">
        <v>2.1800000000000002</v>
      </c>
      <c r="E20" t="str">
        <f t="shared" si="0"/>
        <v/>
      </c>
    </row>
    <row r="21" spans="1:5" ht="13.5" thickBot="1">
      <c r="A21" s="342">
        <v>200</v>
      </c>
      <c r="B21" s="342">
        <f t="shared" si="1"/>
        <v>190.09999999999999</v>
      </c>
      <c r="C21" s="343">
        <v>2.2400000000000002</v>
      </c>
      <c r="E21" t="str">
        <f t="shared" si="0"/>
        <v/>
      </c>
    </row>
    <row r="22" spans="1:5" ht="13.5" thickBot="1">
      <c r="A22" s="342">
        <v>210</v>
      </c>
      <c r="B22" s="342">
        <f t="shared" si="1"/>
        <v>200.09999999999999</v>
      </c>
      <c r="C22" s="343">
        <v>2.29</v>
      </c>
      <c r="E22" t="str">
        <f t="shared" si="0"/>
        <v/>
      </c>
    </row>
    <row r="23" spans="1:5" ht="13.5" thickBot="1">
      <c r="A23" s="342">
        <v>220</v>
      </c>
      <c r="B23" s="342">
        <f t="shared" si="1"/>
        <v>210.09999999999999</v>
      </c>
      <c r="C23" s="343">
        <v>2.34</v>
      </c>
      <c r="E23" t="str">
        <f t="shared" si="0"/>
        <v/>
      </c>
    </row>
    <row r="24" spans="1:5" ht="13.5" thickBot="1">
      <c r="A24" s="342">
        <v>230</v>
      </c>
      <c r="B24" s="342">
        <f t="shared" si="1"/>
        <v>220.09999999999999</v>
      </c>
      <c r="C24" s="343">
        <v>2.40</v>
      </c>
      <c r="E24" t="str">
        <f t="shared" si="0"/>
        <v/>
      </c>
    </row>
    <row r="25" spans="1:5" ht="13.5" thickBot="1">
      <c r="A25" s="342">
        <v>240</v>
      </c>
      <c r="B25" s="342">
        <f t="shared" si="1"/>
        <v>230.09999999999999</v>
      </c>
      <c r="C25" s="343">
        <v>2.4500000000000002</v>
      </c>
      <c r="E25" t="str">
        <f t="shared" si="0"/>
        <v/>
      </c>
    </row>
    <row r="26" spans="1:5" ht="13.5" thickBot="1">
      <c r="A26" s="342">
        <v>250</v>
      </c>
      <c r="B26" s="342">
        <f t="shared" si="1"/>
        <v>240.09999999999999</v>
      </c>
      <c r="C26" s="343">
        <v>2.50</v>
      </c>
      <c r="E26" t="str">
        <f t="shared" si="0"/>
        <v/>
      </c>
    </row>
    <row r="27" spans="1:5" ht="13.5" thickBot="1">
      <c r="A27" s="342">
        <v>260</v>
      </c>
      <c r="B27" s="342">
        <f t="shared" si="1"/>
        <v>250.09999999999999</v>
      </c>
      <c r="C27" s="343">
        <v>2.5499999999999998</v>
      </c>
      <c r="E27" t="str">
        <f t="shared" si="0"/>
        <v/>
      </c>
    </row>
    <row r="28" spans="1:5" ht="13.5" thickBot="1">
      <c r="A28" s="342">
        <v>270</v>
      </c>
      <c r="B28" s="342">
        <f t="shared" si="1"/>
        <v>260.10000000000002</v>
      </c>
      <c r="C28" s="343">
        <v>2.61</v>
      </c>
      <c r="E28" t="str">
        <f t="shared" si="0"/>
        <v/>
      </c>
    </row>
    <row r="29" spans="1:5" ht="13.5" thickBot="1">
      <c r="A29" s="342">
        <v>280</v>
      </c>
      <c r="B29" s="342">
        <f t="shared" si="1"/>
        <v>270.10000000000002</v>
      </c>
      <c r="C29" s="343">
        <v>2.66</v>
      </c>
      <c r="E29" t="str">
        <f t="shared" si="0"/>
        <v/>
      </c>
    </row>
    <row r="30" spans="1:5" ht="13.5" thickBot="1">
      <c r="A30" s="342">
        <v>290</v>
      </c>
      <c r="B30" s="342">
        <f t="shared" si="1"/>
        <v>280.10000000000002</v>
      </c>
      <c r="C30" s="343">
        <v>2.71</v>
      </c>
      <c r="E30" t="str">
        <f t="shared" si="0"/>
        <v/>
      </c>
    </row>
    <row r="31" spans="1:5" ht="13.5" thickBot="1">
      <c r="A31" s="342">
        <v>300</v>
      </c>
      <c r="B31" s="342">
        <f t="shared" si="1"/>
        <v>290.10000000000002</v>
      </c>
      <c r="C31" s="343">
        <v>2.76</v>
      </c>
      <c r="E31" t="str">
        <f t="shared" si="0"/>
        <v/>
      </c>
    </row>
    <row r="32" spans="1:5" ht="13.5" thickBot="1">
      <c r="A32" s="342">
        <v>310</v>
      </c>
      <c r="B32" s="342">
        <f t="shared" si="1"/>
        <v>300.10000000000002</v>
      </c>
      <c r="C32" s="343">
        <v>2.81</v>
      </c>
      <c r="E32" t="str">
        <f t="shared" si="0"/>
        <v/>
      </c>
    </row>
    <row r="33" spans="1:5" ht="13.5" thickBot="1">
      <c r="A33" s="342">
        <v>320</v>
      </c>
      <c r="B33" s="342">
        <f t="shared" si="1"/>
        <v>310.10000000000002</v>
      </c>
      <c r="C33" s="343">
        <v>2.86</v>
      </c>
      <c r="E33" t="str">
        <f t="shared" si="0"/>
        <v/>
      </c>
    </row>
    <row r="34" spans="1:5" ht="13.5" thickBot="1">
      <c r="A34" s="342">
        <v>330</v>
      </c>
      <c r="B34" s="342">
        <f t="shared" si="1"/>
        <v>320.10000000000002</v>
      </c>
      <c r="C34" s="343">
        <v>2.91</v>
      </c>
      <c r="E34" t="str">
        <f t="shared" si="0"/>
        <v/>
      </c>
    </row>
    <row r="35" spans="1:5" ht="13.5" thickBot="1">
      <c r="A35" s="342">
        <v>340</v>
      </c>
      <c r="B35" s="342">
        <f t="shared" si="1"/>
        <v>330.10000000000002</v>
      </c>
      <c r="C35" s="343">
        <v>2.97</v>
      </c>
      <c r="E35" t="str">
        <f t="shared" si="0"/>
        <v/>
      </c>
    </row>
    <row r="36" spans="1:5" ht="13.5" thickBot="1">
      <c r="A36" s="342">
        <v>350</v>
      </c>
      <c r="B36" s="342">
        <f t="shared" si="1"/>
        <v>340.10000000000002</v>
      </c>
      <c r="C36" s="343">
        <v>3.02</v>
      </c>
      <c r="E36" t="str">
        <f t="shared" si="0"/>
        <v/>
      </c>
    </row>
    <row r="37" spans="1:5" ht="13.5" thickBot="1">
      <c r="A37" s="342">
        <v>360</v>
      </c>
      <c r="B37" s="342">
        <f t="shared" si="1"/>
        <v>350.10000000000002</v>
      </c>
      <c r="C37" s="343">
        <v>3.07</v>
      </c>
      <c r="E37" t="str">
        <f t="shared" si="0"/>
        <v/>
      </c>
    </row>
    <row r="38" spans="1:5" ht="13.5" thickBot="1">
      <c r="A38" s="342">
        <v>370</v>
      </c>
      <c r="B38" s="342">
        <f t="shared" si="1"/>
        <v>360.10000000000002</v>
      </c>
      <c r="C38" s="343">
        <v>3.12</v>
      </c>
      <c r="E38" t="str">
        <f t="shared" si="0"/>
        <v/>
      </c>
    </row>
    <row r="39" spans="1:5" ht="13.5" thickBot="1">
      <c r="A39" s="343">
        <v>380</v>
      </c>
      <c r="B39" s="342">
        <f t="shared" si="1"/>
        <v>370.10000000000002</v>
      </c>
      <c r="C39" s="345">
        <v>3.17</v>
      </c>
      <c r="E39" t="str">
        <f t="shared" si="0"/>
        <v/>
      </c>
    </row>
    <row r="40" spans="1:5" ht="13.5" thickBot="1">
      <c r="A40" s="343">
        <v>390</v>
      </c>
      <c r="B40" s="342">
        <f t="shared" si="1"/>
        <v>380.10000000000002</v>
      </c>
      <c r="C40" s="345">
        <v>3.22</v>
      </c>
      <c r="E40" t="str">
        <f t="shared" si="0"/>
        <v/>
      </c>
    </row>
    <row r="41" spans="1:5" ht="13.5" thickBot="1">
      <c r="A41" s="344">
        <v>400</v>
      </c>
      <c r="B41" s="342">
        <f t="shared" si="1"/>
        <v>390.10000000000002</v>
      </c>
      <c r="C41" s="343">
        <v>3.27</v>
      </c>
      <c r="E41" t="str">
        <f t="shared" si="0"/>
        <v/>
      </c>
    </row>
    <row r="42" spans="1:5" ht="13.5" thickBot="1">
      <c r="A42" s="344">
        <v>410</v>
      </c>
      <c r="B42" s="342">
        <f t="shared" si="1"/>
        <v>400.10000000000002</v>
      </c>
      <c r="C42" s="343">
        <v>3.32</v>
      </c>
      <c r="E42" t="str">
        <f t="shared" si="0"/>
        <v/>
      </c>
    </row>
    <row r="43" spans="1:5" ht="13.5" thickBot="1">
      <c r="A43" s="344">
        <v>420</v>
      </c>
      <c r="B43" s="342">
        <f t="shared" si="1"/>
        <v>410.10000000000002</v>
      </c>
      <c r="C43" s="343">
        <v>3.37</v>
      </c>
      <c r="E43" t="str">
        <f t="shared" si="0"/>
        <v/>
      </c>
    </row>
    <row r="44" spans="1:5" ht="13.5" thickBot="1">
      <c r="A44" s="344">
        <v>430</v>
      </c>
      <c r="B44" s="342">
        <f t="shared" si="1"/>
        <v>420.10000000000002</v>
      </c>
      <c r="C44" s="343">
        <v>3.42</v>
      </c>
      <c r="E44" t="str">
        <f t="shared" si="0"/>
        <v/>
      </c>
    </row>
    <row r="45" spans="1:5" ht="13.5" thickBot="1">
      <c r="A45" s="344">
        <v>440</v>
      </c>
      <c r="B45" s="342">
        <f t="shared" si="1"/>
        <v>430.10000000000002</v>
      </c>
      <c r="C45" s="343">
        <v>3.47</v>
      </c>
      <c r="E45" t="str">
        <f t="shared" si="0"/>
        <v/>
      </c>
    </row>
    <row r="46" spans="1:5" ht="13.5" thickBot="1">
      <c r="A46" s="344">
        <v>450</v>
      </c>
      <c r="B46" s="342">
        <f t="shared" si="1"/>
        <v>440.10000000000002</v>
      </c>
      <c r="C46" s="343">
        <v>3.52</v>
      </c>
      <c r="E46" t="str">
        <f t="shared" si="0"/>
        <v/>
      </c>
    </row>
    <row r="47" spans="1:5" ht="13.5" thickBot="1">
      <c r="A47" s="344">
        <v>460</v>
      </c>
      <c r="B47" s="342">
        <f t="shared" si="1"/>
        <v>450.10000000000002</v>
      </c>
      <c r="C47" s="343">
        <v>3.56</v>
      </c>
      <c r="E47" t="str">
        <f t="shared" si="0"/>
        <v/>
      </c>
    </row>
    <row r="48" spans="1:5" ht="13.5" thickBot="1">
      <c r="A48" s="344">
        <v>470</v>
      </c>
      <c r="B48" s="342">
        <f t="shared" si="1"/>
        <v>460.10000000000002</v>
      </c>
      <c r="C48" s="343">
        <v>3.61</v>
      </c>
      <c r="E48" t="str">
        <f t="shared" si="0"/>
        <v/>
      </c>
    </row>
    <row r="49" spans="1:5" ht="13.5" thickBot="1">
      <c r="A49" s="344">
        <v>480</v>
      </c>
      <c r="B49" s="342">
        <f t="shared" si="1"/>
        <v>470.10000000000002</v>
      </c>
      <c r="C49" s="343">
        <v>3.66</v>
      </c>
      <c r="E49" t="str">
        <f t="shared" si="0"/>
        <v/>
      </c>
    </row>
    <row r="50" spans="1:5" ht="13.5" thickBot="1">
      <c r="A50" s="344">
        <v>490</v>
      </c>
      <c r="B50" s="342">
        <f t="shared" si="1"/>
        <v>480.10000000000002</v>
      </c>
      <c r="C50" s="343">
        <v>3.71</v>
      </c>
      <c r="E50" t="str">
        <f t="shared" si="0"/>
        <v/>
      </c>
    </row>
    <row r="51" spans="1:5" ht="13.5" thickBot="1">
      <c r="A51" s="344">
        <v>500</v>
      </c>
      <c r="B51" s="342">
        <f t="shared" si="1"/>
        <v>490.10000000000002</v>
      </c>
      <c r="C51" s="343">
        <v>3.76</v>
      </c>
      <c r="E51" t="str">
        <f t="shared" si="0"/>
        <v/>
      </c>
    </row>
    <row r="52" spans="1:5" ht="13.5" thickBot="1">
      <c r="A52" s="344">
        <v>510</v>
      </c>
      <c r="B52" s="342">
        <f t="shared" si="1"/>
        <v>500.10000000000002</v>
      </c>
      <c r="C52" s="343">
        <v>3.78</v>
      </c>
      <c r="E52" t="str">
        <f t="shared" si="0"/>
        <v/>
      </c>
    </row>
    <row r="53" spans="1:5" ht="13.5" thickBot="1">
      <c r="A53" s="344">
        <v>520</v>
      </c>
      <c r="B53" s="342">
        <f t="shared" si="1"/>
        <v>510.10000000000002</v>
      </c>
      <c r="C53" s="343">
        <v>3.81</v>
      </c>
      <c r="E53" t="str">
        <f t="shared" si="0"/>
        <v/>
      </c>
    </row>
    <row r="54" spans="1:5" ht="13.5" thickBot="1">
      <c r="A54" s="344">
        <v>530</v>
      </c>
      <c r="B54" s="342">
        <f t="shared" si="1"/>
        <v>520.10000000000002</v>
      </c>
      <c r="C54" s="343">
        <v>3.83</v>
      </c>
      <c r="E54" t="str">
        <f t="shared" si="0"/>
        <v/>
      </c>
    </row>
    <row r="55" spans="1:5" ht="13.5" thickBot="1">
      <c r="A55" s="344">
        <v>540</v>
      </c>
      <c r="B55" s="342">
        <f t="shared" si="1"/>
        <v>530.10000000000002</v>
      </c>
      <c r="C55" s="343">
        <v>3.86</v>
      </c>
      <c r="E55" t="str">
        <f t="shared" si="0"/>
        <v/>
      </c>
    </row>
    <row r="56" spans="1:5" ht="13.5" thickBot="1">
      <c r="A56" s="344">
        <v>550</v>
      </c>
      <c r="B56" s="342">
        <f t="shared" si="1"/>
        <v>540.10000000000002</v>
      </c>
      <c r="C56" s="343">
        <v>3.88</v>
      </c>
      <c r="E56" t="str">
        <f t="shared" si="0"/>
        <v/>
      </c>
    </row>
    <row r="57" spans="1:5" ht="13.5" thickBot="1">
      <c r="A57" s="344">
        <v>560</v>
      </c>
      <c r="B57" s="342">
        <f t="shared" si="1"/>
        <v>550.10000000000002</v>
      </c>
      <c r="C57" s="343">
        <v>3.90</v>
      </c>
      <c r="E57" t="str">
        <f t="shared" si="0"/>
        <v/>
      </c>
    </row>
    <row r="58" spans="1:5" ht="13.5" thickBot="1">
      <c r="A58" s="344">
        <v>570</v>
      </c>
      <c r="B58" s="342">
        <f t="shared" si="1"/>
        <v>560.10000000000002</v>
      </c>
      <c r="C58" s="343">
        <v>3.93</v>
      </c>
      <c r="E58" t="str">
        <f t="shared" si="0"/>
        <v/>
      </c>
    </row>
    <row r="59" spans="1:5" ht="13.5" thickBot="1">
      <c r="A59" s="344">
        <v>580</v>
      </c>
      <c r="B59" s="342">
        <f t="shared" si="1"/>
        <v>570.10000000000002</v>
      </c>
      <c r="C59" s="343">
        <v>3.95</v>
      </c>
      <c r="E59" t="str">
        <f t="shared" si="0"/>
        <v/>
      </c>
    </row>
    <row r="60" spans="1:5" ht="13.5" thickBot="1">
      <c r="A60" s="344">
        <v>590</v>
      </c>
      <c r="B60" s="342">
        <f t="shared" si="1"/>
        <v>580.10000000000002</v>
      </c>
      <c r="C60" s="343">
        <v>3.98</v>
      </c>
      <c r="E60" t="str">
        <f t="shared" si="0"/>
        <v/>
      </c>
    </row>
    <row r="61" spans="1:5" ht="13.5" thickBot="1">
      <c r="A61" s="344">
        <v>600</v>
      </c>
      <c r="B61" s="342">
        <f t="shared" si="1"/>
        <v>590.10000000000002</v>
      </c>
      <c r="C61" s="343">
        <v>4</v>
      </c>
      <c r="D61">
        <v>2001</v>
      </c>
      <c r="E61">
        <f t="shared" si="0"/>
        <v>14</v>
      </c>
    </row>
    <row r="62" spans="1:5" ht="13.5" thickBot="1">
      <c r="A62" s="344" t="s">
        <v>308</v>
      </c>
      <c r="B62" s="342">
        <f>A61+0.1</f>
        <v>600.10000000000002</v>
      </c>
      <c r="C62" s="343">
        <v>7</v>
      </c>
      <c r="E62" t="str">
        <f t="shared" si="0"/>
        <v/>
      </c>
    </row>
    <row r="63" spans="1:5" ht="13.5" thickBot="1">
      <c r="A63" s="344" t="s">
        <v>309</v>
      </c>
      <c r="B63" s="344">
        <f>1200+0.1</f>
        <v>1200.0999999999999</v>
      </c>
      <c r="C63" s="343">
        <v>10</v>
      </c>
      <c r="E63" t="str">
        <f t="shared" si="0"/>
        <v/>
      </c>
    </row>
    <row r="64" spans="1:5" ht="13.5" thickBot="1">
      <c r="A64" s="345" t="s">
        <v>310</v>
      </c>
      <c r="B64" s="344">
        <f>2000+0.1</f>
        <v>2000.0999999999999</v>
      </c>
      <c r="C64" s="345">
        <v>14</v>
      </c>
      <c r="E64" t="str">
        <f t="shared" si="0"/>
        <v/>
      </c>
    </row>
    <row r="65" spans="1:2" ht="13.5" thickBot="1">
      <c r="A65" s="146"/>
      <c r="B65" s="345"/>
    </row>
  </sheetData>
  <dataValidations count="1">
    <dataValidation type="custom" allowBlank="1" showInputMessage="1" showErrorMessage="1" sqref="C9:C14">
      <formula1>IF(#REF!="Duplex",$A$2:$A$4,IF(#REF!="Triplex",$A$5:$A$10,IF(#REF!="Quadruplex",$A$11:$A$18)))</formula1>
    </dataValidation>
  </dataValidations>
  <pageMargins left="0.511811024" right="0.511811024" top="0.787401575" bottom="0.787401575" header="0.31496062" footer="0.31496062"/>
  <pageSetup orientation="portrait" paperSize="1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AJ194"/>
  <sheetViews>
    <sheetView showGridLines="0" view="pageBreakPreview" zoomScaleNormal="75" zoomScaleSheetLayoutView="100" workbookViewId="0" topLeftCell="A1">
      <selection pane="topLeft" activeCell="D14" sqref="D14"/>
    </sheetView>
  </sheetViews>
  <sheetFormatPr defaultColWidth="9.28428571428571" defaultRowHeight="12.75"/>
  <cols>
    <col min="1" max="1" width="3.28571428571429" customWidth="1"/>
    <col min="2" max="2" width="3.71428571428571" customWidth="1"/>
    <col min="3" max="3" width="11.4285714285714" bestFit="1" customWidth="1"/>
    <col min="4" max="4" width="10.7142857142857" customWidth="1"/>
    <col min="5" max="5" width="11" customWidth="1"/>
    <col min="6" max="6" width="10.7142857142857" hidden="1" customWidth="1"/>
    <col min="7" max="7" width="10.7142857142857" customWidth="1"/>
    <col min="8" max="8" width="10.5714285714286" customWidth="1"/>
    <col min="9" max="9" width="9.71428571428571" hidden="1" customWidth="1"/>
    <col min="10" max="10" width="12.2857142857143" customWidth="1"/>
    <col min="11" max="11" width="12.4285714285714" customWidth="1"/>
    <col min="12" max="12" width="10" customWidth="1"/>
    <col min="13" max="13" width="11.4285714285714" hidden="1" customWidth="1"/>
    <col min="14" max="14" width="11.7142857142857" hidden="1" customWidth="1"/>
    <col min="15" max="15" width="14" customWidth="1"/>
    <col min="16" max="16" width="12.2857142857143" customWidth="1"/>
    <col min="17" max="17" width="13" customWidth="1"/>
    <col min="18" max="18" width="12.2857142857143" customWidth="1"/>
    <col min="19" max="19" width="10.2857142857143" hidden="1" customWidth="1"/>
    <col min="20" max="20" width="10.7142857142857" customWidth="1"/>
    <col min="21" max="21" width="10.7142857142857" hidden="1" customWidth="1"/>
    <col min="22" max="22" width="11.4285714285714" customWidth="1"/>
    <col min="23" max="23" width="18.2857142857143" hidden="1" customWidth="1"/>
    <col min="24" max="24" width="14.4285714285714" hidden="1" customWidth="1"/>
    <col min="25" max="25" width="21.2857142857143" hidden="1" customWidth="1"/>
    <col min="26" max="26" width="15.5714285714286" hidden="1" customWidth="1"/>
    <col min="27" max="27" width="15.7142857142857" hidden="1" customWidth="1"/>
    <col min="28" max="28" width="14.7142857142857" hidden="1" customWidth="1"/>
    <col min="29" max="29" width="10.7142857142857" hidden="1" customWidth="1"/>
    <col min="30" max="30" width="27.4285714285714" hidden="1" customWidth="1"/>
    <col min="31" max="31" width="22.7142857142857" hidden="1" customWidth="1"/>
    <col min="32" max="32" width="24" hidden="1" customWidth="1"/>
    <col min="33" max="33" width="22.2857142857143" hidden="1" customWidth="1"/>
    <col min="34" max="34" width="23" hidden="1" customWidth="1"/>
    <col min="35" max="97" width="9.28571428571429" customWidth="1"/>
  </cols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2" ht="18">
      <c r="A2" s="591"/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</row>
    <row r="3" spans="1:22" ht="20.25">
      <c r="A3" s="632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  <c r="U3" s="632"/>
      <c r="V3" s="632"/>
    </row>
    <row r="5" ht="12" customHeight="1"/>
    <row r="6" spans="1:36" ht="20.25">
      <c r="A6" s="632" t="s">
        <v>5</v>
      </c>
      <c r="B6" s="632"/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2"/>
      <c r="O6" s="632"/>
      <c r="P6" s="632"/>
      <c r="Q6" s="632"/>
      <c r="R6" s="632"/>
      <c r="S6" s="632"/>
      <c r="T6" s="632"/>
      <c r="U6" s="632"/>
      <c r="V6" s="632"/>
      <c r="AJ6" s="2"/>
    </row>
    <row r="7" spans="1:36" ht="12" customHeight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230"/>
      <c r="AJ7" s="2"/>
    </row>
    <row r="8" spans="1:22" ht="16.5" customHeight="1">
      <c r="A8" s="2"/>
      <c r="B8" s="2"/>
      <c r="C8" s="327" t="s">
        <v>6</v>
      </c>
      <c r="D8" s="605"/>
      <c r="E8" s="606"/>
      <c r="F8" s="606"/>
      <c r="G8" s="607"/>
      <c r="H8" s="179" t="s">
        <v>7</v>
      </c>
      <c r="I8" s="608"/>
      <c r="J8" s="608"/>
      <c r="K8" s="608"/>
      <c r="L8" s="608"/>
      <c r="M8" s="608"/>
      <c r="N8" s="608"/>
      <c r="O8" s="181" t="s">
        <v>8</v>
      </c>
      <c r="P8" s="608"/>
      <c r="Q8" s="608"/>
      <c r="R8" s="608"/>
      <c r="S8" s="608"/>
      <c r="T8" s="608"/>
      <c r="U8" s="608"/>
      <c r="V8" s="609"/>
    </row>
    <row r="9" spans="1:22" ht="15" customHeight="1" thickBot="1">
      <c r="A9" s="2"/>
      <c r="B9" s="2"/>
      <c r="C9" s="328" t="s">
        <v>9</v>
      </c>
      <c r="D9" s="617"/>
      <c r="E9" s="618"/>
      <c r="F9" s="618"/>
      <c r="G9" s="619"/>
      <c r="H9" s="180" t="s">
        <v>10</v>
      </c>
      <c r="I9" s="440"/>
      <c r="J9" s="634"/>
      <c r="K9" s="634"/>
      <c r="L9" s="634"/>
      <c r="M9" s="441"/>
      <c r="N9" s="441"/>
      <c r="O9" s="329" t="s">
        <v>11</v>
      </c>
      <c r="P9" s="634"/>
      <c r="Q9" s="634"/>
      <c r="R9" s="634"/>
      <c r="S9" s="634"/>
      <c r="T9" s="634"/>
      <c r="U9" s="634"/>
      <c r="V9" s="635"/>
    </row>
    <row r="10" spans="1:22" ht="4.5" customHeight="1" thickBo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3.5" customHeight="1" thickBot="1">
      <c r="A11" s="2"/>
      <c r="B11" s="2"/>
      <c r="C11" s="636" t="s">
        <v>12</v>
      </c>
      <c r="D11" s="637"/>
      <c r="E11" s="613" t="s">
        <v>13</v>
      </c>
      <c r="F11" s="614"/>
      <c r="G11" s="614"/>
      <c r="H11" s="610" t="s">
        <v>14</v>
      </c>
      <c r="I11" s="611"/>
      <c r="J11" s="612"/>
      <c r="K11" s="610" t="s">
        <v>15</v>
      </c>
      <c r="L11" s="612"/>
      <c r="M11" s="2"/>
      <c r="O11" s="615" t="s">
        <v>16</v>
      </c>
      <c r="P11" s="616"/>
      <c r="Q11" s="615" t="s">
        <v>17</v>
      </c>
      <c r="R11" s="616"/>
      <c r="T11" s="603" t="s">
        <v>18</v>
      </c>
      <c r="U11" s="633"/>
      <c r="V11" s="604"/>
    </row>
    <row r="12" spans="1:22" ht="13.5" customHeight="1" thickBot="1">
      <c r="A12" s="2"/>
      <c r="B12" s="2"/>
      <c r="C12" s="2"/>
      <c r="D12" s="2"/>
      <c r="E12" s="2"/>
      <c r="G12" s="48"/>
      <c r="J12" s="91"/>
      <c r="L12" s="442" t="str">
        <f>IF(G16="","",(0.7*(G16)^2)+(0.3*G16))</f>
        <v/>
      </c>
      <c r="M12" s="2"/>
      <c r="N12" s="2"/>
      <c r="P12" s="231" t="str">
        <f>IF(OR(L14="",L16=""),"",L14/(G16*L16*G14*8760))</f>
        <v/>
      </c>
      <c r="Q12" s="155" t="s">
        <v>19</v>
      </c>
      <c r="R12" s="232" t="str">
        <f>IF(T21="","",MAX(T21:T194))</f>
        <v/>
      </c>
      <c r="T12" s="155" t="s">
        <v>19</v>
      </c>
      <c r="U12" s="233"/>
      <c r="V12" s="234" t="str">
        <f>IF(Q21="","",MAX(Q21:Q194))</f>
        <v/>
      </c>
    </row>
    <row r="13" spans="1:25" ht="13.5" customHeight="1" thickBot="1">
      <c r="A13" s="2"/>
      <c r="B13" s="2"/>
      <c r="C13" s="603" t="s">
        <v>20</v>
      </c>
      <c r="D13" s="604"/>
      <c r="E13" s="615" t="s">
        <v>21</v>
      </c>
      <c r="F13" s="616"/>
      <c r="G13" s="616"/>
      <c r="H13" s="610" t="s">
        <v>22</v>
      </c>
      <c r="I13" s="611"/>
      <c r="J13" s="612"/>
      <c r="K13" s="615" t="s">
        <v>23</v>
      </c>
      <c r="L13" s="616"/>
      <c r="M13" s="2"/>
      <c r="N13" s="2"/>
      <c r="O13" s="610" t="s">
        <v>24</v>
      </c>
      <c r="P13" s="612"/>
      <c r="Q13" s="155" t="s">
        <v>25</v>
      </c>
      <c r="R13" s="235" t="str">
        <f>IF(R12="","",VLOOKUP(R12,T21:X194,5,FALSE))</f>
        <v/>
      </c>
      <c r="T13" s="155" t="s">
        <v>25</v>
      </c>
      <c r="U13" s="2"/>
      <c r="V13" s="235" t="str">
        <f>IF(V12="","",VLOOKUP(V12,Q21:X194,8,FALSE))</f>
        <v/>
      </c>
      <c r="X13" s="326" t="s">
        <v>26</v>
      </c>
      <c r="Y13" s="326" t="s">
        <v>27</v>
      </c>
    </row>
    <row r="14" spans="1:25" ht="13.5" customHeight="1" thickBot="1">
      <c r="A14" s="2"/>
      <c r="B14" s="2"/>
      <c r="C14" s="156" t="s">
        <v>28</v>
      </c>
      <c r="D14" s="16"/>
      <c r="E14" s="2"/>
      <c r="G14" s="48"/>
      <c r="J14" s="300" t="s">
        <v>26</v>
      </c>
      <c r="L14" s="236">
        <f>SUM(V21:V124)</f>
        <v>0</v>
      </c>
      <c r="M14" s="2"/>
      <c r="N14" s="2"/>
      <c r="P14" s="443" t="str">
        <f>IF(L16="","",SUM(AB20:AC43))</f>
        <v/>
      </c>
      <c r="Q14" s="155" t="s">
        <v>29</v>
      </c>
      <c r="R14" s="235" t="str">
        <f>IF(R13="","",VLOOKUP(R13,X21:Y194,2,FALSE))</f>
        <v/>
      </c>
      <c r="T14" s="155" t="s">
        <v>29</v>
      </c>
      <c r="U14" s="2"/>
      <c r="V14" s="235" t="str">
        <f>IF(V13="","",VLOOKUP(V13,X21:Y194,2,FALSE))</f>
        <v/>
      </c>
      <c r="X14" s="237" t="b">
        <f>IF(AND(BT!$P$14&gt;=0,BT!$P$14&lt;17),15,(IF(AND(BT!$P$14&gt;=18,BT!$P$14&lt;34),30,(IF(AND(BT!$P$14&gt;=35,BT!$P$14&lt;52),45,(IF(AND(BT!$P$14&gt;=53,BT!$P$14&lt;87),75,(IF(AND(BT!$P$14&gt;=88,BT!$P$14&lt;130),112.5,(IF(AND(BT!$P$14&gt;=131,BT!$P$14&lt;175),150)))))))))))</f>
        <v>0</v>
      </c>
      <c r="Y14" s="237" t="b">
        <f>IF(AND(BT!$P$14&gt;=0,BT!$P$14&lt;18),15,(IF(AND(BT!$P$14&gt;=19,BT!$P$14&lt;36),30,(IF(AND(BT!$P$14&gt;=37,BT!$P$14&lt;54),45,(IF(AND(BT!$P$14&gt;=55,BT!$P$14&lt;90),75,(IF(AND(BT!$P$14&gt;=91,BT!$P$14&lt;135),112.5,(IF(AND(BT!$P$14&gt;=136,BT!$P$14&lt;180),150)))))))))))</f>
        <v>0</v>
      </c>
    </row>
    <row r="15" spans="1:22" ht="13.5" customHeight="1" thickBot="1">
      <c r="A15" s="2"/>
      <c r="B15" s="2"/>
      <c r="C15" s="615" t="s">
        <v>30</v>
      </c>
      <c r="D15" s="615"/>
      <c r="E15" s="615" t="s">
        <v>31</v>
      </c>
      <c r="F15" s="616"/>
      <c r="G15" s="616"/>
      <c r="H15" s="610" t="s">
        <v>32</v>
      </c>
      <c r="I15" s="611"/>
      <c r="J15" s="612"/>
      <c r="K15" s="615" t="s">
        <v>33</v>
      </c>
      <c r="L15" s="616"/>
      <c r="M15" s="2"/>
      <c r="N15" s="2"/>
      <c r="O15" s="615" t="s">
        <v>34</v>
      </c>
      <c r="P15" s="616"/>
      <c r="Q15" s="603" t="s">
        <v>35</v>
      </c>
      <c r="R15" s="604"/>
      <c r="T15" s="2"/>
      <c r="U15" s="2"/>
      <c r="V15" s="2"/>
    </row>
    <row r="16" spans="1:28" ht="13.5" thickBot="1">
      <c r="A16" s="2"/>
      <c r="B16" s="2"/>
      <c r="C16" s="156" t="s">
        <v>28</v>
      </c>
      <c r="D16" s="16"/>
      <c r="E16" s="2"/>
      <c r="G16" s="48"/>
      <c r="H16" s="157" t="s">
        <v>36</v>
      </c>
      <c r="J16" s="48"/>
      <c r="L16" s="236" t="str">
        <f>IF(OR(H20="",H32=""),"",SUM(F20:G43))</f>
        <v/>
      </c>
      <c r="M16" s="2"/>
      <c r="N16" s="238"/>
      <c r="O16" s="155" t="s">
        <v>37</v>
      </c>
      <c r="P16" s="444" t="str">
        <f>IF(OR($J$14="d",$J$14="D"),X14,(IF(OR($J$14="n",$J$14="N"),Y14,"")))</f>
        <v/>
      </c>
      <c r="Q16" s="155" t="s">
        <v>38</v>
      </c>
      <c r="R16" s="239" t="str">
        <f>IF(AND(O21="",O32=""),"",MAX(Z21:Z43))</f>
        <v/>
      </c>
      <c r="T16" s="2"/>
      <c r="U16" s="2"/>
      <c r="V16" s="2"/>
      <c r="AB16" s="2"/>
    </row>
    <row r="17" spans="1:22" ht="9" customHeight="1" thickBo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20.25" customHeight="1" thickBot="1">
      <c r="A18" s="2"/>
      <c r="B18" s="2"/>
      <c r="C18" s="599" t="s">
        <v>39</v>
      </c>
      <c r="D18" s="600"/>
      <c r="E18" s="620" t="s">
        <v>40</v>
      </c>
      <c r="F18" s="159"/>
      <c r="G18" s="622" t="s">
        <v>41</v>
      </c>
      <c r="H18" s="630" t="s">
        <v>42</v>
      </c>
      <c r="J18" s="622" t="s">
        <v>43</v>
      </c>
      <c r="K18" s="622" t="s">
        <v>44</v>
      </c>
      <c r="L18" s="620" t="s">
        <v>45</v>
      </c>
      <c r="M18" s="240"/>
      <c r="N18" s="240"/>
      <c r="O18" s="622" t="s">
        <v>46</v>
      </c>
      <c r="P18" s="622" t="s">
        <v>47</v>
      </c>
      <c r="Q18" s="622" t="s">
        <v>48</v>
      </c>
      <c r="R18" s="622" t="s">
        <v>49</v>
      </c>
      <c r="S18" s="628" t="s">
        <v>50</v>
      </c>
      <c r="T18" s="620" t="s">
        <v>51</v>
      </c>
      <c r="U18" s="626" t="s">
        <v>52</v>
      </c>
      <c r="V18" s="620" t="s">
        <v>53</v>
      </c>
    </row>
    <row r="19" spans="1:34" ht="17.25" customHeight="1" thickBot="1">
      <c r="A19" s="2"/>
      <c r="B19" s="2"/>
      <c r="C19" s="241" t="s">
        <v>54</v>
      </c>
      <c r="D19" s="241" t="s">
        <v>55</v>
      </c>
      <c r="E19" s="621"/>
      <c r="F19" s="161"/>
      <c r="G19" s="623"/>
      <c r="H19" s="631"/>
      <c r="J19" s="623"/>
      <c r="K19" s="623"/>
      <c r="L19" s="621"/>
      <c r="M19" s="242"/>
      <c r="N19" s="242"/>
      <c r="O19" s="623"/>
      <c r="P19" s="623"/>
      <c r="Q19" s="623"/>
      <c r="R19" s="623"/>
      <c r="S19" s="629"/>
      <c r="T19" s="621"/>
      <c r="U19" s="627"/>
      <c r="V19" s="621"/>
      <c r="W19" s="243"/>
      <c r="X19" s="243" t="s">
        <v>25</v>
      </c>
      <c r="Y19" s="243" t="s">
        <v>29</v>
      </c>
      <c r="Z19" s="243" t="s">
        <v>56</v>
      </c>
      <c r="AB19" s="624" t="s">
        <v>57</v>
      </c>
      <c r="AC19" s="625"/>
      <c r="AE19" s="244" t="s">
        <v>58</v>
      </c>
      <c r="AF19" s="245" t="s">
        <v>59</v>
      </c>
      <c r="AG19" s="246" t="s">
        <v>60</v>
      </c>
      <c r="AH19" s="245" t="s">
        <v>59</v>
      </c>
    </row>
    <row r="20" spans="1:34" ht="12" customHeight="1" thickTop="1">
      <c r="A20" s="593" t="s">
        <v>61</v>
      </c>
      <c r="B20" s="596" t="s">
        <v>62</v>
      </c>
      <c r="C20" s="601" t="s">
        <v>63</v>
      </c>
      <c r="D20" s="602"/>
      <c r="E20" s="247"/>
      <c r="F20" s="248" t="str">
        <f>IF(OR(E20="",$G$12=""),"",E20*$G$12*($J$12/100+1)^($J$16-1))</f>
        <v/>
      </c>
      <c r="G20" s="249"/>
      <c r="H20" s="250" t="s">
        <v>64</v>
      </c>
      <c r="J20" s="251" t="s">
        <v>65</v>
      </c>
      <c r="K20" s="251" t="s">
        <v>65</v>
      </c>
      <c r="L20" s="252" t="s">
        <v>66</v>
      </c>
      <c r="M20" s="253" t="s">
        <v>67</v>
      </c>
      <c r="N20" s="253" t="s">
        <v>67</v>
      </c>
      <c r="O20" s="254" t="s">
        <v>65</v>
      </c>
      <c r="P20" s="255" t="s">
        <v>68</v>
      </c>
      <c r="Q20" s="255" t="s">
        <v>68</v>
      </c>
      <c r="R20" s="255" t="s">
        <v>67</v>
      </c>
      <c r="S20" s="255" t="s">
        <v>67</v>
      </c>
      <c r="T20" s="255" t="s">
        <v>67</v>
      </c>
      <c r="U20" s="252" t="s">
        <v>68</v>
      </c>
      <c r="V20" s="256" t="s">
        <v>67</v>
      </c>
      <c r="W20" s="243"/>
      <c r="X20" s="257"/>
      <c r="Y20" s="243"/>
      <c r="Z20" s="243"/>
      <c r="AB20" s="258" t="str">
        <f>IF(OR(E20="",$G$12=""),"",E20*$G$12*($J$12/100+1)^4)</f>
        <v/>
      </c>
      <c r="AC20" s="259">
        <f>G20</f>
        <v>0</v>
      </c>
      <c r="AE20" s="260"/>
      <c r="AF20" s="261"/>
      <c r="AG20" s="262" t="s">
        <v>69</v>
      </c>
      <c r="AH20" s="261" t="s">
        <v>70</v>
      </c>
    </row>
    <row r="21" spans="1:34" ht="12" customHeight="1">
      <c r="A21" s="594"/>
      <c r="B21" s="597"/>
      <c r="C21" s="263" t="s">
        <v>71</v>
      </c>
      <c r="D21" s="19"/>
      <c r="E21" s="30"/>
      <c r="F21" s="92" t="str">
        <f>IF(OR(E21="",$G$12=""),"",E21*$G$12*($J$12/100+1)^($J$16-1))</f>
        <v/>
      </c>
      <c r="G21" s="35"/>
      <c r="H21" s="265" t="str">
        <f>IF(AND(E21="",G21=""),"",SUM(F21:$G$31))</f>
        <v/>
      </c>
      <c r="J21" s="32"/>
      <c r="K21" s="32"/>
      <c r="L21" s="266" t="str">
        <f>IF(OR(J21="",K21=""),"",IF(J21="3",VLOOKUP(M21,'K% (Rede Convencional)'!$B$18:$M$29,8),(IF(J21="2",VLOOKUP(N21,'K% (Rede Convencional)'!$B$18:$M$29,9),(IF(J21="1",VLOOKUP(N21,'K% (Rede Convencional)'!$B$18:$M$29,10),(IF(J21="13",VLOOKUP(N21,'K% (Rede Convencional)'!$B$18:$M$29,11),(IF(J21="12",VLOOKUP(N21,'K% (Rede Convencional)'!$B$18:$M$29,12),0))))))))))</f>
        <v/>
      </c>
      <c r="M21" s="267" t="str">
        <f>IF(K21="4","a",IF(K21="2","b",IF(K21="1/0","d",IF(K21="4/0","f",IF(K21="336,4","i","")))))</f>
        <v/>
      </c>
      <c r="N21" s="267" t="str">
        <f>IF(K21="","",IF(K21="4 (4)","a",IF(OR(K21="2 (4)",K21="2 (2)"),VLOOKUP(K21,BT!$AE$21:$AF$22,2,FALSE),IF(OR(K21="1/0 (4)",K21="1/0 (2)"),VLOOKUP(K21,BT!$AE$24:$AF$25,2,FALSE),IF(OR(K21="4/0 (4)",K21="4/0 (2)",K21="4/0 (1/0)"),VLOOKUP(K21,BT!$AE$27:$AF$29,2,FALSE),IF(OR(K21="336,4 (4)",K21="336,4 (2)",K21="336,4 (1/0)",K21="336,4 (4/0)"),VLOOKUP(K21,BT!$AE$31:$AF$34,2,FALSE),0))))))</f>
        <v/>
      </c>
      <c r="O21" s="35"/>
      <c r="P21" s="268" t="str">
        <f t="shared" si="0" ref="P21:P43">IF(OR(H21="",L21="",O21=""),"",L21*H21*O21)</f>
        <v/>
      </c>
      <c r="Q21" s="268" t="str">
        <f>IF(P21="","",SUM($P$20:P21))</f>
        <v/>
      </c>
      <c r="R21" s="268" t="str">
        <f t="shared" si="1" ref="R21:R43">IF(H21="","",IF(J21="3",H21*1000/($D$14*SQRT(3)),IF(J21="2",H21*1000*SQRT(3)/($D$14*2),IF(J21="1",H21*1000*SQRT(3)/$D$14,IF(J21="13",H21*1000/$D$16,IF(J21="12",H21*1000*2/$D$16,"erro"))))))</f>
        <v/>
      </c>
      <c r="S21" s="269" t="str">
        <f>IF(OR(M21="a",N21="a"),VLOOKUP("a",'Características dos Cabos'!$D$25:$L$29,9),IF(OR(M21="b",M21="c",N21="b",N21="c"),VLOOKUP("b",'Características dos Cabos'!$D$25:$L$29,9),IF(OR(M21="d",M21="e",N21="d",N21="e"),VLOOKUP("c",'Características dos Cabos'!$D$25:$L$29,9),IF(OR(M21="f",M21="g",M21="h",N21="f",N21="g",N21="h"),VLOOKUP("d",'Características dos Cabos'!$D$25:$L$29,9),IF(OR(M21="i",M21="j",M21="l",M21="m",N21="i",N21="j",N21="l",N21="m"),VLOOKUP("e",'Características dos Cabos'!$D$25:$L$29,9),"")))))</f>
        <v/>
      </c>
      <c r="T21" s="268" t="str">
        <f>IF(S21="","",R21*100/S21)</f>
        <v/>
      </c>
      <c r="U21" s="269" t="str">
        <f>IF(OR(M21="a",N21="a"),VLOOKUP("a",'Características dos Cabos'!$D$25:$L$29,3),IF(OR(M21="b",M21="c",N21="b",N21="c"),VLOOKUP("b",'Características dos Cabos'!$D$25:$L$29,3),IF(OR(M21="d",M21="e",N21="d",N21="e"),VLOOKUP("c",'Características dos Cabos'!$D$25:$L$29,3),IF(OR(M21="f",M21="g",M21="h",N21="f",N21="g",N21="h"),VLOOKUP("d",'Características dos Cabos'!$D$25:$L$29,3),IF(OR(M21="i",M21="j",M21="l",M21="m",N21="i",N21="j",N21="l",N21="m"),VLOOKUP("e",'Características dos Cabos'!$D$25:$L$29,3),"")))))</f>
        <v/>
      </c>
      <c r="V21" s="270" t="str">
        <f t="shared" si="2" ref="V21:V43">IF(OR(O21="",$G$16="",H21="",N21=""),"",IF(J21="3",3*$L$12*U21*O21/1000*R21^2*8.76,IF(OR(J21="2",J21="13"),2*$L$12*U21*O21/1000*R21^2*8.76,IF(OR(J21="1",J21="12"),$L$12*U21*O21/1000*R21^2*8.76))))</f>
        <v/>
      </c>
      <c r="W21" s="243"/>
      <c r="X21" s="257">
        <f>D21</f>
        <v>0</v>
      </c>
      <c r="Y21" s="257">
        <f>K21</f>
        <v>0</v>
      </c>
      <c r="Z21" s="243">
        <f>SUM($O$21:O21)</f>
        <v>0</v>
      </c>
      <c r="AB21" s="258" t="str">
        <f t="shared" si="3" ref="AB21:AB43">IF(OR(E21="",$G$12=""),"",E21*$G$12*($J$12/100+1)^4)</f>
        <v/>
      </c>
      <c r="AC21" s="259">
        <f t="shared" si="4" ref="AC21:AC43">G21</f>
        <v>0</v>
      </c>
      <c r="AE21" s="260" t="s">
        <v>72</v>
      </c>
      <c r="AF21" s="261" t="s">
        <v>70</v>
      </c>
      <c r="AG21" s="262" t="s">
        <v>73</v>
      </c>
      <c r="AH21" s="261" t="s">
        <v>74</v>
      </c>
    </row>
    <row r="22" spans="1:34" ht="12" customHeight="1">
      <c r="A22" s="594"/>
      <c r="B22" s="597"/>
      <c r="C22" s="17"/>
      <c r="D22" s="19"/>
      <c r="E22" s="30"/>
      <c r="F22" s="92" t="str">
        <f t="shared" si="5" ref="F22:F85">IF(OR(E22="",$G$12=""),"",E22*$G$12*($J$12/100+1)^($J$16-1))</f>
        <v/>
      </c>
      <c r="G22" s="35"/>
      <c r="H22" s="265" t="str">
        <f>IF(AND(E22="",G22=""),"",SUM(F22:$G$31))</f>
        <v/>
      </c>
      <c r="J22" s="32"/>
      <c r="K22" s="32"/>
      <c r="L22" s="266" t="str">
        <f>IF(OR(J22="",K22=""),"",IF(J22="3",VLOOKUP(M22,'K% (Rede Convencional)'!$B$18:$M$29,8),(IF(J22="2",VLOOKUP(N22,'K% (Rede Convencional)'!$B$18:$M$29,9),(IF(J22="1",VLOOKUP(N22,'K% (Rede Convencional)'!$B$18:$M$29,10),(IF(J22="13",VLOOKUP(N22,'K% (Rede Convencional)'!$B$18:$M$29,11),(IF(J22="12",VLOOKUP(N22,'K% (Rede Convencional)'!$B$18:$M$29,12),0))))))))))</f>
        <v/>
      </c>
      <c r="M22" s="267" t="str">
        <f t="shared" si="6" ref="M22:M85">IF(K22="4","a",IF(K22="2","b",IF(K22="1/0","d",IF(K22="4/0","f",IF(K22="336,4","i","")))))</f>
        <v/>
      </c>
      <c r="N22" s="267" t="str">
        <f>IF(K22="","",IF(K22="4 (4)","a",IF(OR(K22="2 (4)",K22="2 (2)"),VLOOKUP(K22,BT!$AE$21:$AF$22,2,FALSE),IF(OR(K22="1/0 (4)",K22="1/0 (2)"),VLOOKUP(K22,BT!$AE$24:$AF$25,2,FALSE),IF(OR(K22="4/0 (4)",K22="4/0 (2)",K22="4/0 (1/0)"),VLOOKUP(K22,BT!$AE$27:$AF$29,2,FALSE),IF(OR(K22="336,4 (4)",K22="336,4 (2)",K22="336,4 (1/0)",K22="336,4 (4/0)"),VLOOKUP(K22,BT!$AE$31:$AF$34,2,FALSE),0))))))</f>
        <v/>
      </c>
      <c r="O22" s="35"/>
      <c r="P22" s="268" t="str">
        <f t="shared" si="0"/>
        <v/>
      </c>
      <c r="Q22" s="268" t="str">
        <f>IF(P22="","",SUM($P$20:P22))</f>
        <v/>
      </c>
      <c r="R22" s="268" t="str">
        <f t="shared" si="1"/>
        <v/>
      </c>
      <c r="S22" s="269" t="str">
        <f>IF(OR(M22="a",N22="a"),VLOOKUP("a",'Características dos Cabos'!$D$25:$L$29,9),IF(OR(M22="b",M22="c",N22="b",N22="c"),VLOOKUP("b",'Características dos Cabos'!$D$25:$L$29,9),IF(OR(M22="d",M22="e",N22="d",N22="e"),VLOOKUP("c",'Características dos Cabos'!$D$25:$L$29,9),IF(OR(M22="f",M22="g",M22="h",N22="f",N22="g",N22="h"),VLOOKUP("d",'Características dos Cabos'!$D$25:$L$29,9),IF(OR(M22="i",M22="j",M22="l",M22="m",N22="i",N22="j",N22="l",N22="m"),VLOOKUP("e",'Características dos Cabos'!$D$25:$L$29,9),"")))))</f>
        <v/>
      </c>
      <c r="T22" s="268" t="str">
        <f t="shared" si="7" ref="T22:T85">IF(S22="","",R22*100/S22)</f>
        <v/>
      </c>
      <c r="U22" s="269" t="str">
        <f>IF(OR(M22="a",N22="a"),VLOOKUP("a",'Características dos Cabos'!$D$25:$L$29,3),IF(OR(M22="b",M22="c",N22="b",N22="c"),VLOOKUP("b",'Características dos Cabos'!$D$25:$L$29,3),IF(OR(M22="d",M22="e",N22="d",N22="e"),VLOOKUP("c",'Características dos Cabos'!$D$25:$L$29,3),IF(OR(M22="f",M22="g",M22="h",N22="f",N22="g",N22="h"),VLOOKUP("d",'Características dos Cabos'!$D$25:$L$29,3),IF(OR(M22="i",M22="j",M22="l",M22="m",N22="i",N22="j",N22="l",N22="m"),VLOOKUP("e",'Características dos Cabos'!$D$25:$L$29,3),"")))))</f>
        <v/>
      </c>
      <c r="V22" s="270" t="str">
        <f t="shared" si="2"/>
        <v/>
      </c>
      <c r="W22" s="243"/>
      <c r="X22" s="257">
        <f t="shared" si="8" ref="X22:X85">D22</f>
        <v>0</v>
      </c>
      <c r="Y22" s="257">
        <f t="shared" si="9" ref="Y22:Y85">K22</f>
        <v>0</v>
      </c>
      <c r="Z22" s="243">
        <f>SUM($O$21:O22)</f>
        <v>0</v>
      </c>
      <c r="AB22" s="258" t="str">
        <f t="shared" si="3"/>
        <v/>
      </c>
      <c r="AC22" s="259">
        <f t="shared" si="4"/>
        <v>0</v>
      </c>
      <c r="AE22" s="260" t="s">
        <v>75</v>
      </c>
      <c r="AF22" s="261" t="s">
        <v>76</v>
      </c>
      <c r="AG22" s="262" t="s">
        <v>77</v>
      </c>
      <c r="AH22" s="261" t="s">
        <v>78</v>
      </c>
    </row>
    <row r="23" spans="1:34" ht="12" customHeight="1">
      <c r="A23" s="594"/>
      <c r="B23" s="597"/>
      <c r="C23" s="17"/>
      <c r="D23" s="19"/>
      <c r="E23" s="30"/>
      <c r="F23" s="92" t="str">
        <f t="shared" si="5"/>
        <v/>
      </c>
      <c r="G23" s="35"/>
      <c r="H23" s="265" t="str">
        <f>IF(AND(E23="",G23=""),"",SUM(F23:$G$31))</f>
        <v/>
      </c>
      <c r="J23" s="32"/>
      <c r="K23" s="32"/>
      <c r="L23" s="266" t="str">
        <f>IF(OR(J23="",K23=""),"",IF(J23="3",VLOOKUP(M23,'K% (Rede Convencional)'!$B$18:$M$29,8),(IF(J23="2",VLOOKUP(N23,'K% (Rede Convencional)'!$B$18:$M$29,9),(IF(J23="1",VLOOKUP(N23,'K% (Rede Convencional)'!$B$18:$M$29,10),(IF(J23="13",VLOOKUP(N23,'K% (Rede Convencional)'!$B$18:$M$29,11),(IF(J23="12",VLOOKUP(N23,'K% (Rede Convencional)'!$B$18:$M$29,12),0))))))))))</f>
        <v/>
      </c>
      <c r="M23" s="267" t="str">
        <f t="shared" si="6"/>
        <v/>
      </c>
      <c r="N23" s="267" t="str">
        <f>IF(K23="","",IF(K23="4 (4)","a",IF(OR(K23="2 (4)",K23="2 (2)"),VLOOKUP(K23,BT!$AE$21:$AF$22,2,FALSE),IF(OR(K23="1/0 (4)",K23="1/0 (2)"),VLOOKUP(K23,BT!$AE$24:$AF$25,2,FALSE),IF(OR(K23="4/0 (4)",K23="4/0 (2)",K23="4/0 (1/0)"),VLOOKUP(K23,BT!$AE$27:$AF$29,2,FALSE),IF(OR(K23="336,4 (4)",K23="336,4 (2)",K23="336,4 (1/0)",K23="336,4 (4/0)"),VLOOKUP(K23,BT!$AE$31:$AF$34,2,FALSE),0))))))</f>
        <v/>
      </c>
      <c r="O23" s="35"/>
      <c r="P23" s="268" t="str">
        <f t="shared" si="0"/>
        <v/>
      </c>
      <c r="Q23" s="268" t="str">
        <f>IF(P23="","",SUM($P$20:P23))</f>
        <v/>
      </c>
      <c r="R23" s="268" t="str">
        <f t="shared" si="1"/>
        <v/>
      </c>
      <c r="S23" s="269" t="str">
        <f>IF(OR(M23="a",N23="a"),VLOOKUP("a",'Características dos Cabos'!$D$25:$L$29,9),IF(OR(M23="b",M23="c",N23="b",N23="c"),VLOOKUP("b",'Características dos Cabos'!$D$25:$L$29,9),IF(OR(M23="d",M23="e",N23="d",N23="e"),VLOOKUP("c",'Características dos Cabos'!$D$25:$L$29,9),IF(OR(M23="f",M23="g",M23="h",N23="f",N23="g",N23="h"),VLOOKUP("d",'Características dos Cabos'!$D$25:$L$29,9),IF(OR(M23="i",M23="j",M23="l",M23="m",N23="i",N23="j",N23="l",N23="m"),VLOOKUP("e",'Características dos Cabos'!$D$25:$L$29,9),"")))))</f>
        <v/>
      </c>
      <c r="T23" s="268" t="str">
        <f t="shared" si="7"/>
        <v/>
      </c>
      <c r="U23" s="269" t="str">
        <f>IF(OR(M23="a",N23="a"),VLOOKUP("a",'Características dos Cabos'!$D$25:$L$29,3),IF(OR(M23="b",M23="c",N23="b",N23="c"),VLOOKUP("b",'Características dos Cabos'!$D$25:$L$29,3),IF(OR(M23="d",M23="e",N23="d",N23="e"),VLOOKUP("c",'Características dos Cabos'!$D$25:$L$29,3),IF(OR(M23="f",M23="g",M23="h",N23="f",N23="g",N23="h"),VLOOKUP("d",'Características dos Cabos'!$D$25:$L$29,3),IF(OR(M23="i",M23="j",M23="l",M23="m",N23="i",N23="j",N23="l",N23="m"),VLOOKUP("e",'Características dos Cabos'!$D$25:$L$29,3),"")))))</f>
        <v/>
      </c>
      <c r="V23" s="270" t="str">
        <f t="shared" si="2"/>
        <v/>
      </c>
      <c r="W23" s="243"/>
      <c r="X23" s="257">
        <f t="shared" si="8"/>
        <v>0</v>
      </c>
      <c r="Y23" s="257">
        <f t="shared" si="9"/>
        <v>0</v>
      </c>
      <c r="Z23" s="243">
        <f>SUM($O$21:O23)</f>
        <v>0</v>
      </c>
      <c r="AB23" s="258" t="str">
        <f t="shared" si="3"/>
        <v/>
      </c>
      <c r="AC23" s="259">
        <f t="shared" si="4"/>
        <v>0</v>
      </c>
      <c r="AE23" s="260"/>
      <c r="AF23" s="261"/>
      <c r="AG23" s="262" t="s">
        <v>79</v>
      </c>
      <c r="AH23" s="261" t="s">
        <v>80</v>
      </c>
    </row>
    <row r="24" spans="1:34" ht="12" customHeight="1">
      <c r="A24" s="594"/>
      <c r="B24" s="597"/>
      <c r="C24" s="17"/>
      <c r="D24" s="19"/>
      <c r="E24" s="30"/>
      <c r="F24" s="92" t="str">
        <f t="shared" si="5"/>
        <v/>
      </c>
      <c r="G24" s="35"/>
      <c r="H24" s="265" t="str">
        <f>IF(AND(E24="",G24=""),"",SUM(F24:$G$31))</f>
        <v/>
      </c>
      <c r="J24" s="32"/>
      <c r="K24" s="32"/>
      <c r="L24" s="266" t="str">
        <f>IF(OR(J24="",K24=""),"",IF(J24="3",VLOOKUP(M24,'K% (Rede Convencional)'!$B$18:$M$29,8),(IF(J24="2",VLOOKUP(N24,'K% (Rede Convencional)'!$B$18:$M$29,9),(IF(J24="1",VLOOKUP(N24,'K% (Rede Convencional)'!$B$18:$M$29,10),(IF(J24="13",VLOOKUP(N24,'K% (Rede Convencional)'!$B$18:$M$29,11),(IF(J24="12",VLOOKUP(N24,'K% (Rede Convencional)'!$B$18:$M$29,12),0))))))))))</f>
        <v/>
      </c>
      <c r="M24" s="267" t="str">
        <f t="shared" si="6"/>
        <v/>
      </c>
      <c r="N24" s="267" t="str">
        <f>IF(K24="","",IF(K24="4 (4)","a",IF(OR(K24="2 (4)",K24="2 (2)"),VLOOKUP(K24,BT!$AE$21:$AF$22,2,FALSE),IF(OR(K24="1/0 (4)",K24="1/0 (2)"),VLOOKUP(K24,BT!$AE$24:$AF$25,2,FALSE),IF(OR(K24="4/0 (4)",K24="4/0 (2)",K24="4/0 (1/0)"),VLOOKUP(K24,BT!$AE$27:$AF$29,2,FALSE),IF(OR(K24="336,4 (4)",K24="336,4 (2)",K24="336,4 (1/0)",K24="336,4 (4/0)"),VLOOKUP(K24,BT!$AE$31:$AF$34,2,FALSE),0))))))</f>
        <v/>
      </c>
      <c r="O24" s="35"/>
      <c r="P24" s="268" t="str">
        <f t="shared" si="0"/>
        <v/>
      </c>
      <c r="Q24" s="268" t="str">
        <f>IF(P24="","",SUM($P$20:P24))</f>
        <v/>
      </c>
      <c r="R24" s="268" t="str">
        <f t="shared" si="1"/>
        <v/>
      </c>
      <c r="S24" s="269" t="str">
        <f>IF(OR(M24="a",N24="a"),VLOOKUP("a",'Características dos Cabos'!$D$25:$L$29,9),IF(OR(M24="b",M24="c",N24="b",N24="c"),VLOOKUP("b",'Características dos Cabos'!$D$25:$L$29,9),IF(OR(M24="d",M24="e",N24="d",N24="e"),VLOOKUP("c",'Características dos Cabos'!$D$25:$L$29,9),IF(OR(M24="f",M24="g",M24="h",N24="f",N24="g",N24="h"),VLOOKUP("d",'Características dos Cabos'!$D$25:$L$29,9),IF(OR(M24="i",M24="j",M24="l",M24="m",N24="i",N24="j",N24="l",N24="m"),VLOOKUP("e",'Características dos Cabos'!$D$25:$L$29,9),"")))))</f>
        <v/>
      </c>
      <c r="T24" s="268" t="str">
        <f t="shared" si="7"/>
        <v/>
      </c>
      <c r="U24" s="269" t="str">
        <f>IF(OR(M24="a",N24="a"),VLOOKUP("a",'Características dos Cabos'!$D$25:$L$29,3),IF(OR(M24="b",M24="c",N24="b",N24="c"),VLOOKUP("b",'Características dos Cabos'!$D$25:$L$29,3),IF(OR(M24="d",M24="e",N24="d",N24="e"),VLOOKUP("c",'Características dos Cabos'!$D$25:$L$29,3),IF(OR(M24="f",M24="g",M24="h",N24="f",N24="g",N24="h"),VLOOKUP("d",'Características dos Cabos'!$D$25:$L$29,3),IF(OR(M24="i",M24="j",M24="l",M24="m",N24="i",N24="j",N24="l",N24="m"),VLOOKUP("e",'Características dos Cabos'!$D$25:$L$29,3),"")))))</f>
        <v/>
      </c>
      <c r="V24" s="270" t="str">
        <f t="shared" si="2"/>
        <v/>
      </c>
      <c r="W24" s="243"/>
      <c r="X24" s="257">
        <f t="shared" si="8"/>
        <v>0</v>
      </c>
      <c r="Y24" s="257">
        <f t="shared" si="9"/>
        <v>0</v>
      </c>
      <c r="Z24" s="243">
        <f>SUM($O$21:O24)</f>
        <v>0</v>
      </c>
      <c r="AB24" s="258" t="str">
        <f t="shared" si="3"/>
        <v/>
      </c>
      <c r="AC24" s="259">
        <f t="shared" si="4"/>
        <v>0</v>
      </c>
      <c r="AE24" s="260" t="s">
        <v>81</v>
      </c>
      <c r="AF24" s="261" t="s">
        <v>74</v>
      </c>
      <c r="AG24" s="257"/>
      <c r="AH24" s="261"/>
    </row>
    <row r="25" spans="1:34" ht="12" customHeight="1">
      <c r="A25" s="594"/>
      <c r="B25" s="597"/>
      <c r="C25" s="17"/>
      <c r="D25" s="19"/>
      <c r="E25" s="30"/>
      <c r="F25" s="92" t="str">
        <f t="shared" si="5"/>
        <v/>
      </c>
      <c r="G25" s="35"/>
      <c r="H25" s="265" t="str">
        <f>IF(AND(E25="",G25=""),"",SUM(F25:$G$31))</f>
        <v/>
      </c>
      <c r="J25" s="32"/>
      <c r="K25" s="32"/>
      <c r="L25" s="266" t="str">
        <f>IF(OR(J25="",K25=""),"",IF(J25="3",VLOOKUP(M25,'K% (Rede Convencional)'!$B$18:$M$29,8),(IF(J25="2",VLOOKUP(N25,'K% (Rede Convencional)'!$B$18:$M$29,9),(IF(J25="1",VLOOKUP(N25,'K% (Rede Convencional)'!$B$18:$M$29,10),(IF(J25="13",VLOOKUP(N25,'K% (Rede Convencional)'!$B$18:$M$29,11),(IF(J25="12",VLOOKUP(N25,'K% (Rede Convencional)'!$B$18:$M$29,12),0))))))))))</f>
        <v/>
      </c>
      <c r="M25" s="267" t="str">
        <f t="shared" si="6"/>
        <v/>
      </c>
      <c r="N25" s="267" t="str">
        <f>IF(K25="","",IF(K25="4 (4)","a",IF(OR(K25="2 (4)",K25="2 (2)"),VLOOKUP(K25,BT!$AE$21:$AF$22,2,FALSE),IF(OR(K25="1/0 (4)",K25="1/0 (2)"),VLOOKUP(K25,BT!$AE$24:$AF$25,2,FALSE),IF(OR(K25="4/0 (4)",K25="4/0 (2)",K25="4/0 (1/0)"),VLOOKUP(K25,BT!$AE$27:$AF$29,2,FALSE),IF(OR(K25="336,4 (4)",K25="336,4 (2)",K25="336,4 (1/0)",K25="336,4 (4/0)"),VLOOKUP(K25,BT!$AE$31:$AF$34,2,FALSE),0))))))</f>
        <v/>
      </c>
      <c r="O25" s="35"/>
      <c r="P25" s="268" t="str">
        <f t="shared" si="0"/>
        <v/>
      </c>
      <c r="Q25" s="268" t="str">
        <f>IF(P25="","",SUM($P$20:P25))</f>
        <v/>
      </c>
      <c r="R25" s="268" t="str">
        <f t="shared" si="1"/>
        <v/>
      </c>
      <c r="S25" s="269" t="str">
        <f>IF(OR(M25="a",N25="a"),VLOOKUP("a",'Características dos Cabos'!$D$25:$L$29,9),IF(OR(M25="b",M25="c",N25="b",N25="c"),VLOOKUP("b",'Características dos Cabos'!$D$25:$L$29,9),IF(OR(M25="d",M25="e",N25="d",N25="e"),VLOOKUP("c",'Características dos Cabos'!$D$25:$L$29,9),IF(OR(M25="f",M25="g",M25="h",N25="f",N25="g",N25="h"),VLOOKUP("d",'Características dos Cabos'!$D$25:$L$29,9),IF(OR(M25="i",M25="j",M25="l",M25="m",N25="i",N25="j",N25="l",N25="m"),VLOOKUP("e",'Características dos Cabos'!$D$25:$L$29,9),"")))))</f>
        <v/>
      </c>
      <c r="T25" s="268" t="str">
        <f t="shared" si="7"/>
        <v/>
      </c>
      <c r="U25" s="269" t="str">
        <f>IF(OR(M25="a",N25="a"),VLOOKUP("a",'Características dos Cabos'!$D$25:$L$29,3),IF(OR(M25="b",M25="c",N25="b",N25="c"),VLOOKUP("b",'Características dos Cabos'!$D$25:$L$29,3),IF(OR(M25="d",M25="e",N25="d",N25="e"),VLOOKUP("c",'Características dos Cabos'!$D$25:$L$29,3),IF(OR(M25="f",M25="g",M25="h",N25="f",N25="g",N25="h"),VLOOKUP("d",'Características dos Cabos'!$D$25:$L$29,3),IF(OR(M25="i",M25="j",M25="l",M25="m",N25="i",N25="j",N25="l",N25="m"),VLOOKUP("e",'Características dos Cabos'!$D$25:$L$29,3),"")))))</f>
        <v/>
      </c>
      <c r="V25" s="270" t="str">
        <f t="shared" si="2"/>
        <v/>
      </c>
      <c r="W25" s="243"/>
      <c r="X25" s="257">
        <f t="shared" si="8"/>
        <v>0</v>
      </c>
      <c r="Y25" s="257">
        <f t="shared" si="9"/>
        <v>0</v>
      </c>
      <c r="Z25" s="243">
        <f>SUM($O$21:O25)</f>
        <v>0</v>
      </c>
      <c r="AB25" s="258" t="str">
        <f t="shared" si="3"/>
        <v/>
      </c>
      <c r="AC25" s="259">
        <f t="shared" si="4"/>
        <v>0</v>
      </c>
      <c r="AE25" s="260" t="s">
        <v>82</v>
      </c>
      <c r="AF25" s="261" t="s">
        <v>83</v>
      </c>
      <c r="AG25" s="257"/>
      <c r="AH25" s="261"/>
    </row>
    <row r="26" spans="1:34" ht="12" customHeight="1">
      <c r="A26" s="594"/>
      <c r="B26" s="597"/>
      <c r="C26" s="17"/>
      <c r="D26" s="19"/>
      <c r="E26" s="30"/>
      <c r="F26" s="92" t="str">
        <f t="shared" si="5"/>
        <v/>
      </c>
      <c r="G26" s="35"/>
      <c r="H26" s="265" t="str">
        <f>IF(AND(E26="",G26=""),"",SUM(F26:$G$31))</f>
        <v/>
      </c>
      <c r="J26" s="32"/>
      <c r="K26" s="32"/>
      <c r="L26" s="266" t="str">
        <f>IF(OR(J26="",K26=""),"",IF(J26="3",VLOOKUP(M26,'K% (Rede Convencional)'!$B$18:$M$29,8),(IF(J26="2",VLOOKUP(N26,'K% (Rede Convencional)'!$B$18:$M$29,9),(IF(J26="1",VLOOKUP(N26,'K% (Rede Convencional)'!$B$18:$M$29,10),(IF(J26="13",VLOOKUP(N26,'K% (Rede Convencional)'!$B$18:$M$29,11),(IF(J26="12",VLOOKUP(N26,'K% (Rede Convencional)'!$B$18:$M$29,12),0))))))))))</f>
        <v/>
      </c>
      <c r="M26" s="267" t="str">
        <f t="shared" si="6"/>
        <v/>
      </c>
      <c r="N26" s="267" t="str">
        <f>IF(K26="","",IF(K26="4 (4)","a",IF(OR(K26="2 (4)",K26="2 (2)"),VLOOKUP(K26,BT!$AE$21:$AF$22,2,FALSE),IF(OR(K26="1/0 (4)",K26="1/0 (2)"),VLOOKUP(K26,BT!$AE$24:$AF$25,2,FALSE),IF(OR(K26="4/0 (4)",K26="4/0 (2)",K26="4/0 (1/0)"),VLOOKUP(K26,BT!$AE$27:$AF$29,2,FALSE),IF(OR(K26="336,4 (4)",K26="336,4 (2)",K26="336,4 (1/0)",K26="336,4 (4/0)"),VLOOKUP(K26,BT!$AE$31:$AF$34,2,FALSE),0))))))</f>
        <v/>
      </c>
      <c r="O26" s="35"/>
      <c r="P26" s="268" t="str">
        <f t="shared" si="0"/>
        <v/>
      </c>
      <c r="Q26" s="268" t="str">
        <f>IF(P26="","",SUM($P$20:P26))</f>
        <v/>
      </c>
      <c r="R26" s="268" t="str">
        <f t="shared" si="1"/>
        <v/>
      </c>
      <c r="S26" s="269" t="str">
        <f>IF(OR(M26="a",N26="a"),VLOOKUP("a",'Características dos Cabos'!$D$25:$L$29,9),IF(OR(M26="b",M26="c",N26="b",N26="c"),VLOOKUP("b",'Características dos Cabos'!$D$25:$L$29,9),IF(OR(M26="d",M26="e",N26="d",N26="e"),VLOOKUP("c",'Características dos Cabos'!$D$25:$L$29,9),IF(OR(M26="f",M26="g",M26="h",N26="f",N26="g",N26="h"),VLOOKUP("d",'Características dos Cabos'!$D$25:$L$29,9),IF(OR(M26="i",M26="j",M26="l",M26="m",N26="i",N26="j",N26="l",N26="m"),VLOOKUP("e",'Características dos Cabos'!$D$25:$L$29,9),"")))))</f>
        <v/>
      </c>
      <c r="T26" s="268" t="str">
        <f t="shared" si="7"/>
        <v/>
      </c>
      <c r="U26" s="269" t="str">
        <f>IF(OR(M26="a",N26="a"),VLOOKUP("a",'Características dos Cabos'!$D$25:$L$29,3),IF(OR(M26="b",M26="c",N26="b",N26="c"),VLOOKUP("b",'Características dos Cabos'!$D$25:$L$29,3),IF(OR(M26="d",M26="e",N26="d",N26="e"),VLOOKUP("c",'Características dos Cabos'!$D$25:$L$29,3),IF(OR(M26="f",M26="g",M26="h",N26="f",N26="g",N26="h"),VLOOKUP("d",'Características dos Cabos'!$D$25:$L$29,3),IF(OR(M26="i",M26="j",M26="l",M26="m",N26="i",N26="j",N26="l",N26="m"),VLOOKUP("e",'Características dos Cabos'!$D$25:$L$29,3),"")))))</f>
        <v/>
      </c>
      <c r="V26" s="270" t="str">
        <f t="shared" si="2"/>
        <v/>
      </c>
      <c r="W26" s="243"/>
      <c r="X26" s="257">
        <f t="shared" si="8"/>
        <v>0</v>
      </c>
      <c r="Y26" s="257">
        <f t="shared" si="9"/>
        <v>0</v>
      </c>
      <c r="Z26" s="243">
        <f>SUM($O$21:O26)</f>
        <v>0</v>
      </c>
      <c r="AB26" s="258" t="str">
        <f t="shared" si="3"/>
        <v/>
      </c>
      <c r="AC26" s="259">
        <f t="shared" si="4"/>
        <v>0</v>
      </c>
      <c r="AE26" s="260"/>
      <c r="AF26" s="261"/>
      <c r="AG26" s="257"/>
      <c r="AH26" s="261"/>
    </row>
    <row r="27" spans="1:34" ht="12" customHeight="1">
      <c r="A27" s="594"/>
      <c r="B27" s="597"/>
      <c r="C27" s="17"/>
      <c r="D27" s="19"/>
      <c r="E27" s="30"/>
      <c r="F27" s="92" t="str">
        <f t="shared" si="5"/>
        <v/>
      </c>
      <c r="G27" s="35"/>
      <c r="H27" s="265" t="str">
        <f>IF(AND(E27="",G27=""),"",SUM(F27:$G$31))</f>
        <v/>
      </c>
      <c r="J27" s="32"/>
      <c r="K27" s="32"/>
      <c r="L27" s="266" t="str">
        <f>IF(OR(J27="",K27=""),"",IF(J27="3",VLOOKUP(M27,'K% (Rede Convencional)'!$B$18:$M$29,8),(IF(J27="2",VLOOKUP(N27,'K% (Rede Convencional)'!$B$18:$M$29,9),(IF(J27="1",VLOOKUP(N27,'K% (Rede Convencional)'!$B$18:$M$29,10),(IF(J27="13",VLOOKUP(N27,'K% (Rede Convencional)'!$B$18:$M$29,11),(IF(J27="12",VLOOKUP(N27,'K% (Rede Convencional)'!$B$18:$M$29,12),0))))))))))</f>
        <v/>
      </c>
      <c r="M27" s="267" t="str">
        <f t="shared" si="6"/>
        <v/>
      </c>
      <c r="N27" s="267" t="str">
        <f>IF(K27="","",IF(K27="4 (4)","a",IF(OR(K27="2 (4)",K27="2 (2)"),VLOOKUP(K27,BT!$AE$21:$AF$22,2,FALSE),IF(OR(K27="1/0 (4)",K27="1/0 (2)"),VLOOKUP(K27,BT!$AE$24:$AF$25,2,FALSE),IF(OR(K27="4/0 (4)",K27="4/0 (2)",K27="4/0 (1/0)"),VLOOKUP(K27,BT!$AE$27:$AF$29,2,FALSE),IF(OR(K27="336,4 (4)",K27="336,4 (2)",K27="336,4 (1/0)",K27="336,4 (4/0)"),VLOOKUP(K27,BT!$AE$31:$AF$34,2,FALSE),0))))))</f>
        <v/>
      </c>
      <c r="O27" s="35"/>
      <c r="P27" s="268" t="str">
        <f t="shared" si="0"/>
        <v/>
      </c>
      <c r="Q27" s="268" t="str">
        <f>IF(P27="","",SUM($P$20:P27))</f>
        <v/>
      </c>
      <c r="R27" s="268" t="str">
        <f t="shared" si="1"/>
        <v/>
      </c>
      <c r="S27" s="269" t="str">
        <f>IF(OR(M27="a",N27="a"),VLOOKUP("a",'Características dos Cabos'!$D$25:$L$29,9),IF(OR(M27="b",M27="c",N27="b",N27="c"),VLOOKUP("b",'Características dos Cabos'!$D$25:$L$29,9),IF(OR(M27="d",M27="e",N27="d",N27="e"),VLOOKUP("c",'Características dos Cabos'!$D$25:$L$29,9),IF(OR(M27="f",M27="g",M27="h",N27="f",N27="g",N27="h"),VLOOKUP("d",'Características dos Cabos'!$D$25:$L$29,9),IF(OR(M27="i",M27="j",M27="l",M27="m",N27="i",N27="j",N27="l",N27="m"),VLOOKUP("e",'Características dos Cabos'!$D$25:$L$29,9),"")))))</f>
        <v/>
      </c>
      <c r="T27" s="268" t="str">
        <f t="shared" si="7"/>
        <v/>
      </c>
      <c r="U27" s="269" t="str">
        <f>IF(OR(M27="a",N27="a"),VLOOKUP("a",'Características dos Cabos'!$D$25:$L$29,3),IF(OR(M27="b",M27="c",N27="b",N27="c"),VLOOKUP("b",'Características dos Cabos'!$D$25:$L$29,3),IF(OR(M27="d",M27="e",N27="d",N27="e"),VLOOKUP("c",'Características dos Cabos'!$D$25:$L$29,3),IF(OR(M27="f",M27="g",M27="h",N27="f",N27="g",N27="h"),VLOOKUP("d",'Características dos Cabos'!$D$25:$L$29,3),IF(OR(M27="i",M27="j",M27="l",M27="m",N27="i",N27="j",N27="l",N27="m"),VLOOKUP("e",'Características dos Cabos'!$D$25:$L$29,3),"")))))</f>
        <v/>
      </c>
      <c r="V27" s="270" t="str">
        <f t="shared" si="2"/>
        <v/>
      </c>
      <c r="W27" s="243"/>
      <c r="X27" s="257">
        <f t="shared" si="8"/>
        <v>0</v>
      </c>
      <c r="Y27" s="257">
        <f t="shared" si="9"/>
        <v>0</v>
      </c>
      <c r="Z27" s="243">
        <f>SUM($O$21:O27)</f>
        <v>0</v>
      </c>
      <c r="AB27" s="258" t="str">
        <f t="shared" si="3"/>
        <v/>
      </c>
      <c r="AC27" s="259">
        <f t="shared" si="4"/>
        <v>0</v>
      </c>
      <c r="AE27" s="260" t="s">
        <v>84</v>
      </c>
      <c r="AF27" s="261" t="s">
        <v>78</v>
      </c>
      <c r="AG27" s="257"/>
      <c r="AH27" s="261"/>
    </row>
    <row r="28" spans="1:34" ht="12" customHeight="1">
      <c r="A28" s="594"/>
      <c r="B28" s="597"/>
      <c r="C28" s="17"/>
      <c r="D28" s="19"/>
      <c r="E28" s="30"/>
      <c r="F28" s="92" t="str">
        <f t="shared" si="5"/>
        <v/>
      </c>
      <c r="G28" s="35"/>
      <c r="H28" s="265" t="str">
        <f>IF(AND(E28="",G28=""),"",SUM(F28:$G$31))</f>
        <v/>
      </c>
      <c r="J28" s="32"/>
      <c r="K28" s="32"/>
      <c r="L28" s="266" t="str">
        <f>IF(OR(J28="",K28=""),"",IF(J28="3",VLOOKUP(M28,'K% (Rede Convencional)'!$B$18:$M$29,8),(IF(J28="2",VLOOKUP(N28,'K% (Rede Convencional)'!$B$18:$M$29,9),(IF(J28="1",VLOOKUP(N28,'K% (Rede Convencional)'!$B$18:$M$29,10),(IF(J28="13",VLOOKUP(N28,'K% (Rede Convencional)'!$B$18:$M$29,11),(IF(J28="12",VLOOKUP(N28,'K% (Rede Convencional)'!$B$18:$M$29,12),0))))))))))</f>
        <v/>
      </c>
      <c r="M28" s="267" t="str">
        <f t="shared" si="6"/>
        <v/>
      </c>
      <c r="N28" s="267" t="str">
        <f>IF(K28="","",IF(K28="4 (4)","a",IF(OR(K28="2 (4)",K28="2 (2)"),VLOOKUP(K28,BT!$AE$21:$AF$22,2,FALSE),IF(OR(K28="1/0 (4)",K28="1/0 (2)"),VLOOKUP(K28,BT!$AE$24:$AF$25,2,FALSE),IF(OR(K28="4/0 (4)",K28="4/0 (2)",K28="4/0 (1/0)"),VLOOKUP(K28,BT!$AE$27:$AF$29,2,FALSE),IF(OR(K28="336,4 (4)",K28="336,4 (2)",K28="336,4 (1/0)",K28="336,4 (4/0)"),VLOOKUP(K28,BT!$AE$31:$AF$34,2,FALSE),0))))))</f>
        <v/>
      </c>
      <c r="O28" s="35"/>
      <c r="P28" s="268" t="str">
        <f t="shared" si="0"/>
        <v/>
      </c>
      <c r="Q28" s="268" t="str">
        <f>IF(P28="","",SUM($P$20:P28))</f>
        <v/>
      </c>
      <c r="R28" s="268" t="str">
        <f t="shared" si="1"/>
        <v/>
      </c>
      <c r="S28" s="269" t="str">
        <f>IF(OR(M28="a",N28="a"),VLOOKUP("a",'Características dos Cabos'!$D$25:$L$29,9),IF(OR(M28="b",M28="c",N28="b",N28="c"),VLOOKUP("b",'Características dos Cabos'!$D$25:$L$29,9),IF(OR(M28="d",M28="e",N28="d",N28="e"),VLOOKUP("c",'Características dos Cabos'!$D$25:$L$29,9),IF(OR(M28="f",M28="g",M28="h",N28="f",N28="g",N28="h"),VLOOKUP("d",'Características dos Cabos'!$D$25:$L$29,9),IF(OR(M28="i",M28="j",M28="l",M28="m",N28="i",N28="j",N28="l",N28="m"),VLOOKUP("e",'Características dos Cabos'!$D$25:$L$29,9),"")))))</f>
        <v/>
      </c>
      <c r="T28" s="268" t="str">
        <f t="shared" si="7"/>
        <v/>
      </c>
      <c r="U28" s="269" t="str">
        <f>IF(OR(M28="a",N28="a"),VLOOKUP("a",'Características dos Cabos'!$D$25:$L$29,3),IF(OR(M28="b",M28="c",N28="b",N28="c"),VLOOKUP("b",'Características dos Cabos'!$D$25:$L$29,3),IF(OR(M28="d",M28="e",N28="d",N28="e"),VLOOKUP("c",'Características dos Cabos'!$D$25:$L$29,3),IF(OR(M28="f",M28="g",M28="h",N28="f",N28="g",N28="h"),VLOOKUP("d",'Características dos Cabos'!$D$25:$L$29,3),IF(OR(M28="i",M28="j",M28="l",M28="m",N28="i",N28="j",N28="l",N28="m"),VLOOKUP("e",'Características dos Cabos'!$D$25:$L$29,3),"")))))</f>
        <v/>
      </c>
      <c r="V28" s="270" t="str">
        <f t="shared" si="2"/>
        <v/>
      </c>
      <c r="W28" s="243"/>
      <c r="X28" s="257">
        <f t="shared" si="8"/>
        <v>0</v>
      </c>
      <c r="Y28" s="257">
        <f t="shared" si="9"/>
        <v>0</v>
      </c>
      <c r="Z28" s="243">
        <f>SUM($O$21:O28)</f>
        <v>0</v>
      </c>
      <c r="AB28" s="258" t="str">
        <f t="shared" si="3"/>
        <v/>
      </c>
      <c r="AC28" s="259">
        <f t="shared" si="4"/>
        <v>0</v>
      </c>
      <c r="AE28" s="260" t="s">
        <v>85</v>
      </c>
      <c r="AF28" s="261" t="s">
        <v>86</v>
      </c>
      <c r="AG28" s="257"/>
      <c r="AH28" s="261"/>
    </row>
    <row r="29" spans="1:34" ht="12" customHeight="1">
      <c r="A29" s="594"/>
      <c r="B29" s="597"/>
      <c r="C29" s="17"/>
      <c r="D29" s="19"/>
      <c r="E29" s="30"/>
      <c r="F29" s="92" t="str">
        <f t="shared" si="5"/>
        <v/>
      </c>
      <c r="G29" s="35"/>
      <c r="H29" s="265" t="str">
        <f>IF(AND(E29="",G29=""),"",SUM(F29:$G$31))</f>
        <v/>
      </c>
      <c r="J29" s="32"/>
      <c r="K29" s="32"/>
      <c r="L29" s="266" t="str">
        <f>IF(OR(J29="",K29=""),"",IF(J29="3",VLOOKUP(M29,'K% (Rede Convencional)'!$B$18:$M$29,8),(IF(J29="2",VLOOKUP(N29,'K% (Rede Convencional)'!$B$18:$M$29,9),(IF(J29="1",VLOOKUP(N29,'K% (Rede Convencional)'!$B$18:$M$29,10),(IF(J29="13",VLOOKUP(N29,'K% (Rede Convencional)'!$B$18:$M$29,11),(IF(J29="12",VLOOKUP(N29,'K% (Rede Convencional)'!$B$18:$M$29,12),0))))))))))</f>
        <v/>
      </c>
      <c r="M29" s="267" t="str">
        <f t="shared" si="6"/>
        <v/>
      </c>
      <c r="N29" s="267" t="str">
        <f>IF(K29="","",IF(K29="4 (4)","a",IF(OR(K29="2 (4)",K29="2 (2)"),VLOOKUP(K29,BT!$AE$21:$AF$22,2,FALSE),IF(OR(K29="1/0 (4)",K29="1/0 (2)"),VLOOKUP(K29,BT!$AE$24:$AF$25,2,FALSE),IF(OR(K29="4/0 (4)",K29="4/0 (2)",K29="4/0 (1/0)"),VLOOKUP(K29,BT!$AE$27:$AF$29,2,FALSE),IF(OR(K29="336,4 (4)",K29="336,4 (2)",K29="336,4 (1/0)",K29="336,4 (4/0)"),VLOOKUP(K29,BT!$AE$31:$AF$34,2,FALSE),0))))))</f>
        <v/>
      </c>
      <c r="O29" s="35"/>
      <c r="P29" s="268" t="str">
        <f t="shared" si="0"/>
        <v/>
      </c>
      <c r="Q29" s="268" t="str">
        <f>IF(P29="","",SUM($P$20:P29))</f>
        <v/>
      </c>
      <c r="R29" s="268" t="str">
        <f t="shared" si="1"/>
        <v/>
      </c>
      <c r="S29" s="269" t="str">
        <f>IF(OR(M29="a",N29="a"),VLOOKUP("a",'Características dos Cabos'!$D$25:$L$29,9),IF(OR(M29="b",M29="c",N29="b",N29="c"),VLOOKUP("b",'Características dos Cabos'!$D$25:$L$29,9),IF(OR(M29="d",M29="e",N29="d",N29="e"),VLOOKUP("c",'Características dos Cabos'!$D$25:$L$29,9),IF(OR(M29="f",M29="g",M29="h",N29="f",N29="g",N29="h"),VLOOKUP("d",'Características dos Cabos'!$D$25:$L$29,9),IF(OR(M29="i",M29="j",M29="l",M29="m",N29="i",N29="j",N29="l",N29="m"),VLOOKUP("e",'Características dos Cabos'!$D$25:$L$29,9),"")))))</f>
        <v/>
      </c>
      <c r="T29" s="268" t="str">
        <f t="shared" si="7"/>
        <v/>
      </c>
      <c r="U29" s="269" t="str">
        <f>IF(OR(M29="a",N29="a"),VLOOKUP("a",'Características dos Cabos'!$D$25:$L$29,3),IF(OR(M29="b",M29="c",N29="b",N29="c"),VLOOKUP("b",'Características dos Cabos'!$D$25:$L$29,3),IF(OR(M29="d",M29="e",N29="d",N29="e"),VLOOKUP("c",'Características dos Cabos'!$D$25:$L$29,3),IF(OR(M29="f",M29="g",M29="h",N29="f",N29="g",N29="h"),VLOOKUP("d",'Características dos Cabos'!$D$25:$L$29,3),IF(OR(M29="i",M29="j",M29="l",M29="m",N29="i",N29="j",N29="l",N29="m"),VLOOKUP("e",'Características dos Cabos'!$D$25:$L$29,3),"")))))</f>
        <v/>
      </c>
      <c r="V29" s="270" t="str">
        <f t="shared" si="2"/>
        <v/>
      </c>
      <c r="W29" s="243"/>
      <c r="X29" s="257">
        <f t="shared" si="8"/>
        <v>0</v>
      </c>
      <c r="Y29" s="257">
        <f t="shared" si="9"/>
        <v>0</v>
      </c>
      <c r="Z29" s="243">
        <f>SUM($O$21:O29)</f>
        <v>0</v>
      </c>
      <c r="AB29" s="258" t="str">
        <f t="shared" si="3"/>
        <v/>
      </c>
      <c r="AC29" s="259">
        <f t="shared" si="4"/>
        <v>0</v>
      </c>
      <c r="AE29" s="260" t="s">
        <v>87</v>
      </c>
      <c r="AF29" s="261" t="s">
        <v>88</v>
      </c>
      <c r="AG29" s="257"/>
      <c r="AH29" s="261"/>
    </row>
    <row r="30" spans="1:34" ht="12" customHeight="1">
      <c r="A30" s="594"/>
      <c r="B30" s="597"/>
      <c r="C30" s="17"/>
      <c r="D30" s="19"/>
      <c r="E30" s="30"/>
      <c r="F30" s="92" t="str">
        <f t="shared" si="5"/>
        <v/>
      </c>
      <c r="G30" s="35"/>
      <c r="H30" s="265" t="str">
        <f>IF(AND(E30="",G30=""),"",SUM(F30:$G$31))</f>
        <v/>
      </c>
      <c r="J30" s="32"/>
      <c r="K30" s="32"/>
      <c r="L30" s="266" t="str">
        <f>IF(OR(J30="",K30=""),"",IF(J30="3",VLOOKUP(M30,'K% (Rede Convencional)'!$B$18:$M$29,8),(IF(J30="2",VLOOKUP(N30,'K% (Rede Convencional)'!$B$18:$M$29,9),(IF(J30="1",VLOOKUP(N30,'K% (Rede Convencional)'!$B$18:$M$29,10),(IF(J30="13",VLOOKUP(N30,'K% (Rede Convencional)'!$B$18:$M$29,11),(IF(J30="12",VLOOKUP(N30,'K% (Rede Convencional)'!$B$18:$M$29,12),0))))))))))</f>
        <v/>
      </c>
      <c r="M30" s="267" t="str">
        <f t="shared" si="6"/>
        <v/>
      </c>
      <c r="N30" s="267" t="str">
        <f>IF(K30="","",IF(K30="4 (4)","a",IF(OR(K30="2 (4)",K30="2 (2)"),VLOOKUP(K30,BT!$AE$21:$AF$22,2,FALSE),IF(OR(K30="1/0 (4)",K30="1/0 (2)"),VLOOKUP(K30,BT!$AE$24:$AF$25,2,FALSE),IF(OR(K30="4/0 (4)",K30="4/0 (2)",K30="4/0 (1/0)"),VLOOKUP(K30,BT!$AE$27:$AF$29,2,FALSE),IF(OR(K30="336,4 (4)",K30="336,4 (2)",K30="336,4 (1/0)",K30="336,4 (4/0)"),VLOOKUP(K30,BT!$AE$31:$AF$34,2,FALSE),0))))))</f>
        <v/>
      </c>
      <c r="O30" s="35"/>
      <c r="P30" s="268" t="str">
        <f t="shared" si="0"/>
        <v/>
      </c>
      <c r="Q30" s="268" t="str">
        <f>IF(P30="","",SUM($P$20:P30))</f>
        <v/>
      </c>
      <c r="R30" s="268" t="str">
        <f t="shared" si="1"/>
        <v/>
      </c>
      <c r="S30" s="269" t="str">
        <f>IF(OR(M30="a",N30="a"),VLOOKUP("a",'Características dos Cabos'!$D$25:$L$29,9),IF(OR(M30="b",M30="c",N30="b",N30="c"),VLOOKUP("b",'Características dos Cabos'!$D$25:$L$29,9),IF(OR(M30="d",M30="e",N30="d",N30="e"),VLOOKUP("c",'Características dos Cabos'!$D$25:$L$29,9),IF(OR(M30="f",M30="g",M30="h",N30="f",N30="g",N30="h"),VLOOKUP("d",'Características dos Cabos'!$D$25:$L$29,9),IF(OR(M30="i",M30="j",M30="l",M30="m",N30="i",N30="j",N30="l",N30="m"),VLOOKUP("e",'Características dos Cabos'!$D$25:$L$29,9),"")))))</f>
        <v/>
      </c>
      <c r="T30" s="268" t="str">
        <f t="shared" si="7"/>
        <v/>
      </c>
      <c r="U30" s="269" t="str">
        <f>IF(OR(M30="a",N30="a"),VLOOKUP("a",'Características dos Cabos'!$D$25:$L$29,3),IF(OR(M30="b",M30="c",N30="b",N30="c"),VLOOKUP("b",'Características dos Cabos'!$D$25:$L$29,3),IF(OR(M30="d",M30="e",N30="d",N30="e"),VLOOKUP("c",'Características dos Cabos'!$D$25:$L$29,3),IF(OR(M30="f",M30="g",M30="h",N30="f",N30="g",N30="h"),VLOOKUP("d",'Características dos Cabos'!$D$25:$L$29,3),IF(OR(M30="i",M30="j",M30="l",M30="m",N30="i",N30="j",N30="l",N30="m"),VLOOKUP("e",'Características dos Cabos'!$D$25:$L$29,3),"")))))</f>
        <v/>
      </c>
      <c r="V30" s="270" t="str">
        <f t="shared" si="2"/>
        <v/>
      </c>
      <c r="W30" s="243"/>
      <c r="X30" s="257">
        <f t="shared" si="8"/>
        <v>0</v>
      </c>
      <c r="Y30" s="257">
        <f t="shared" si="9"/>
        <v>0</v>
      </c>
      <c r="Z30" s="243">
        <f>SUM($O$21:O30)</f>
        <v>0</v>
      </c>
      <c r="AB30" s="258" t="str">
        <f t="shared" si="3"/>
        <v/>
      </c>
      <c r="AC30" s="259">
        <f t="shared" si="4"/>
        <v>0</v>
      </c>
      <c r="AE30" s="260"/>
      <c r="AF30" s="261"/>
      <c r="AG30" s="257"/>
      <c r="AH30" s="261"/>
    </row>
    <row r="31" spans="1:34" ht="12" customHeight="1" thickBot="1">
      <c r="A31" s="594"/>
      <c r="B31" s="598"/>
      <c r="C31" s="40"/>
      <c r="D31" s="41"/>
      <c r="E31" s="42"/>
      <c r="F31" s="54" t="str">
        <f t="shared" si="5"/>
        <v/>
      </c>
      <c r="G31" s="43"/>
      <c r="H31" s="271" t="str">
        <f>IF(AND(E31="",G31=""),"",SUM(F31:$G$31))</f>
        <v/>
      </c>
      <c r="J31" s="44"/>
      <c r="K31" s="44"/>
      <c r="L31" s="272" t="str">
        <f>IF(OR(J31="",K31=""),"",IF(J31="3",VLOOKUP(M31,'K% (Rede Convencional)'!$B$18:$M$29,8),(IF(J31="2",VLOOKUP(N31,'K% (Rede Convencional)'!$B$18:$M$29,9),(IF(J31="1",VLOOKUP(N31,'K% (Rede Convencional)'!$B$18:$M$29,10),(IF(J31="13",VLOOKUP(N31,'K% (Rede Convencional)'!$B$18:$M$29,11),(IF(J31="12",VLOOKUP(N31,'K% (Rede Convencional)'!$B$18:$M$29,12),0))))))))))</f>
        <v/>
      </c>
      <c r="M31" s="273" t="str">
        <f t="shared" si="6"/>
        <v/>
      </c>
      <c r="N31" s="273" t="str">
        <f>IF(K31="","",IF(K31="4 (4)","a",IF(OR(K31="2 (4)",K31="2 (2)"),VLOOKUP(K31,BT!$AE$21:$AF$22,2,FALSE),IF(OR(K31="1/0 (4)",K31="1/0 (2)"),VLOOKUP(K31,BT!$AE$24:$AF$25,2,FALSE),IF(OR(K31="4/0 (4)",K31="4/0 (2)",K31="4/0 (1/0)"),VLOOKUP(K31,BT!$AE$27:$AF$29,2,FALSE),IF(OR(K31="336,4 (4)",K31="336,4 (2)",K31="336,4 (1/0)",K31="336,4 (4/0)"),VLOOKUP(K31,BT!$AE$31:$AF$34,2,FALSE),0))))))</f>
        <v/>
      </c>
      <c r="O31" s="43"/>
      <c r="P31" s="274" t="str">
        <f t="shared" si="0"/>
        <v/>
      </c>
      <c r="Q31" s="274" t="str">
        <f>IF(P31="","",SUM($P$20:P31))</f>
        <v/>
      </c>
      <c r="R31" s="274" t="str">
        <f t="shared" si="1"/>
        <v/>
      </c>
      <c r="S31" s="275" t="str">
        <f>IF(OR(M31="a",N31="a"),VLOOKUP("a",'Características dos Cabos'!$D$25:$L$29,9),IF(OR(M31="b",M31="c",N31="b",N31="c"),VLOOKUP("b",'Características dos Cabos'!$D$25:$L$29,9),IF(OR(M31="d",M31="e",N31="d",N31="e"),VLOOKUP("c",'Características dos Cabos'!$D$25:$L$29,9),IF(OR(M31="f",M31="g",M31="h",N31="f",N31="g",N31="h"),VLOOKUP("d",'Características dos Cabos'!$D$25:$L$29,9),IF(OR(M31="i",M31="j",M31="l",M31="m",N31="i",N31="j",N31="l",N31="m"),VLOOKUP("e",'Características dos Cabos'!$D$25:$L$29,9),"")))))</f>
        <v/>
      </c>
      <c r="T31" s="274" t="str">
        <f t="shared" si="7"/>
        <v/>
      </c>
      <c r="U31" s="275" t="str">
        <f>IF(OR(M31="a",N31="a"),VLOOKUP("a",'Características dos Cabos'!$D$25:$L$29,3),IF(OR(M31="b",M31="c",N31="b",N31="c"),VLOOKUP("b",'Características dos Cabos'!$D$25:$L$29,3),IF(OR(M31="d",M31="e",N31="d",N31="e"),VLOOKUP("c",'Características dos Cabos'!$D$25:$L$29,3),IF(OR(M31="f",M31="g",M31="h",N31="f",N31="g",N31="h"),VLOOKUP("d",'Características dos Cabos'!$D$25:$L$29,3),IF(OR(M31="i",M31="j",M31="l",M31="m",N31="i",N31="j",N31="l",N31="m"),VLOOKUP("e",'Características dos Cabos'!$D$25:$L$29,3),"")))))</f>
        <v/>
      </c>
      <c r="V31" s="276" t="str">
        <f t="shared" si="2"/>
        <v/>
      </c>
      <c r="W31" s="243"/>
      <c r="X31" s="257">
        <f t="shared" si="8"/>
        <v>0</v>
      </c>
      <c r="Y31" s="257">
        <f t="shared" si="9"/>
        <v>0</v>
      </c>
      <c r="Z31" s="243">
        <f>SUM($O$21:O31)</f>
        <v>0</v>
      </c>
      <c r="AB31" s="258" t="str">
        <f t="shared" si="3"/>
        <v/>
      </c>
      <c r="AC31" s="259">
        <f t="shared" si="4"/>
        <v>0</v>
      </c>
      <c r="AE31" s="260" t="s">
        <v>89</v>
      </c>
      <c r="AF31" s="261" t="s">
        <v>80</v>
      </c>
      <c r="AG31" s="257"/>
      <c r="AH31" s="261"/>
    </row>
    <row r="32" spans="1:34" ht="13.5" thickTop="1">
      <c r="A32" s="594"/>
      <c r="B32" s="596" t="s">
        <v>90</v>
      </c>
      <c r="C32" s="277" t="s">
        <v>71</v>
      </c>
      <c r="D32" s="21"/>
      <c r="E32" s="29"/>
      <c r="F32" s="92" t="str">
        <f t="shared" si="5"/>
        <v/>
      </c>
      <c r="G32" s="34"/>
      <c r="H32" s="278" t="str">
        <f>IF(AND(E32="",G32=""),"",SUM(F32:$G$43))</f>
        <v/>
      </c>
      <c r="J32" s="22"/>
      <c r="K32" s="22"/>
      <c r="L32" s="279" t="str">
        <f>IF(OR(J32="",K32=""),"",IF(J32="3",VLOOKUP(M32,'K% (Rede Convencional)'!$B$18:$M$29,8),(IF(J32="2",VLOOKUP(N32,'K% (Rede Convencional)'!$B$18:$M$29,9),(IF(J32="1",VLOOKUP(N32,'K% (Rede Convencional)'!$B$18:$M$29,10),(IF(J32="13",VLOOKUP(N32,'K% (Rede Convencional)'!$B$18:$M$29,11),(IF(J32="12",VLOOKUP(N32,'K% (Rede Convencional)'!$B$18:$M$29,12),0))))))))))</f>
        <v/>
      </c>
      <c r="M32" s="253" t="str">
        <f t="shared" si="6"/>
        <v/>
      </c>
      <c r="N32" s="253" t="str">
        <f>IF(K32="","",IF(K32="4 (4)","a",IF(OR(K32="2 (4)",K32="2 (2)"),VLOOKUP(K32,BT!$AE$21:$AF$22,2,FALSE),IF(OR(K32="1/0 (4)",K32="1/0 (2)"),VLOOKUP(K32,BT!$AE$24:$AF$25,2,FALSE),IF(OR(K32="4/0 (4)",K32="4/0 (2)",K32="4/0 (1/0)"),VLOOKUP(K32,BT!$AE$27:$AF$29,2,FALSE),IF(OR(K32="336,4 (4)",K32="336,4 (2)",K32="336,4 (1/0)",K32="336,4 (4/0)"),VLOOKUP(K32,BT!$AE$31:$AF$34,2,FALSE),0))))))</f>
        <v/>
      </c>
      <c r="O32" s="34"/>
      <c r="P32" s="280" t="str">
        <f t="shared" si="0"/>
        <v/>
      </c>
      <c r="Q32" s="280" t="str">
        <f>IF(P32="","",SUM($P$32:P32))</f>
        <v/>
      </c>
      <c r="R32" s="280" t="str">
        <f t="shared" si="1"/>
        <v/>
      </c>
      <c r="S32" s="281" t="str">
        <f>IF(OR(M32="a",N32="a"),VLOOKUP("a",'Características dos Cabos'!$D$25:$L$29,9),IF(OR(M32="b",M32="c",N32="b",N32="c"),VLOOKUP("b",'Características dos Cabos'!$D$25:$L$29,9),IF(OR(M32="d",M32="e",N32="d",N32="e"),VLOOKUP("c",'Características dos Cabos'!$D$25:$L$29,9),IF(OR(M32="f",M32="g",M32="h",N32="f",N32="g",N32="h"),VLOOKUP("d",'Características dos Cabos'!$D$25:$L$29,9),IF(OR(M32="i",M32="j",M32="l",M32="m",N32="i",N32="j",N32="l",N32="m"),VLOOKUP("e",'Características dos Cabos'!$D$25:$L$29,9),"")))))</f>
        <v/>
      </c>
      <c r="T32" s="280" t="str">
        <f t="shared" si="7"/>
        <v/>
      </c>
      <c r="U32" s="281" t="str">
        <f>IF(OR(M32="a",N32="a"),VLOOKUP("a",'Características dos Cabos'!$D$25:$L$29,3),IF(OR(M32="b",M32="c",N32="b",N32="c"),VLOOKUP("b",'Características dos Cabos'!$D$25:$L$29,3),IF(OR(M32="d",M32="e",N32="d",N32="e"),VLOOKUP("c",'Características dos Cabos'!$D$25:$L$29,3),IF(OR(M32="f",M32="g",M32="h",N32="f",N32="g",N32="h"),VLOOKUP("d",'Características dos Cabos'!$D$25:$L$29,3),IF(OR(M32="i",M32="j",M32="l",M32="m",N32="i",N32="j",N32="l",N32="m"),VLOOKUP("e",'Características dos Cabos'!$D$25:$L$29,3),"")))))</f>
        <v/>
      </c>
      <c r="V32" s="282" t="str">
        <f t="shared" si="2"/>
        <v/>
      </c>
      <c r="W32" s="243"/>
      <c r="X32" s="257">
        <f t="shared" si="8"/>
        <v>0</v>
      </c>
      <c r="Y32" s="257">
        <f t="shared" si="9"/>
        <v>0</v>
      </c>
      <c r="Z32" s="243">
        <f>SUM($O$32:O32)</f>
        <v>0</v>
      </c>
      <c r="AB32" s="258" t="str">
        <f t="shared" si="3"/>
        <v/>
      </c>
      <c r="AC32" s="259">
        <f t="shared" si="4"/>
        <v>0</v>
      </c>
      <c r="AE32" s="260" t="s">
        <v>91</v>
      </c>
      <c r="AF32" s="261" t="s">
        <v>92</v>
      </c>
      <c r="AG32" s="257"/>
      <c r="AH32" s="261"/>
    </row>
    <row r="33" spans="1:34" ht="12.75">
      <c r="A33" s="594"/>
      <c r="B33" s="597"/>
      <c r="C33" s="17"/>
      <c r="D33" s="19"/>
      <c r="E33" s="30"/>
      <c r="F33" s="92" t="str">
        <f t="shared" si="5"/>
        <v/>
      </c>
      <c r="G33" s="35"/>
      <c r="H33" s="265" t="str">
        <f>IF(AND(E33="",G33=""),"",SUM(F33:$G$43))</f>
        <v/>
      </c>
      <c r="J33" s="32"/>
      <c r="K33" s="32"/>
      <c r="L33" s="266" t="str">
        <f>IF(OR(J33="",K33=""),"",IF(J33="3",VLOOKUP(M33,'K% (Rede Convencional)'!$B$18:$M$29,8),(IF(J33="2",VLOOKUP(N33,'K% (Rede Convencional)'!$B$18:$M$29,9),(IF(J33="1",VLOOKUP(N33,'K% (Rede Convencional)'!$B$18:$M$29,10),(IF(J33="13",VLOOKUP(N33,'K% (Rede Convencional)'!$B$18:$M$29,11),(IF(J33="12",VLOOKUP(N33,'K% (Rede Convencional)'!$B$18:$M$29,12),0))))))))))</f>
        <v/>
      </c>
      <c r="M33" s="267" t="str">
        <f t="shared" si="6"/>
        <v/>
      </c>
      <c r="N33" s="267" t="str">
        <f>IF(K33="","",IF(K33="4 (4)","a",IF(OR(K33="2 (4)",K33="2 (2)"),VLOOKUP(K33,BT!$AE$21:$AF$22,2,FALSE),IF(OR(K33="1/0 (4)",K33="1/0 (2)"),VLOOKUP(K33,BT!$AE$24:$AF$25,2,FALSE),IF(OR(K33="4/0 (4)",K33="4/0 (2)",K33="4/0 (1/0)"),VLOOKUP(K33,BT!$AE$27:$AF$29,2,FALSE),IF(OR(K33="336,4 (4)",K33="336,4 (2)",K33="336,4 (1/0)",K33="336,4 (4/0)"),VLOOKUP(K33,BT!$AE$31:$AF$34,2,FALSE),0))))))</f>
        <v/>
      </c>
      <c r="O33" s="35"/>
      <c r="P33" s="268" t="str">
        <f t="shared" si="0"/>
        <v/>
      </c>
      <c r="Q33" s="268" t="str">
        <f>IF(P33="","",SUM($P$32:P33))</f>
        <v/>
      </c>
      <c r="R33" s="268" t="str">
        <f t="shared" si="1"/>
        <v/>
      </c>
      <c r="S33" s="269" t="str">
        <f>IF(OR(M33="a",N33="a"),VLOOKUP("a",'Características dos Cabos'!$D$25:$L$29,9),IF(OR(M33="b",M33="c",N33="b",N33="c"),VLOOKUP("b",'Características dos Cabos'!$D$25:$L$29,9),IF(OR(M33="d",M33="e",N33="d",N33="e"),VLOOKUP("c",'Características dos Cabos'!$D$25:$L$29,9),IF(OR(M33="f",M33="g",M33="h",N33="f",N33="g",N33="h"),VLOOKUP("d",'Características dos Cabos'!$D$25:$L$29,9),IF(OR(M33="i",M33="j",M33="l",M33="m",N33="i",N33="j",N33="l",N33="m"),VLOOKUP("e",'Características dos Cabos'!$D$25:$L$29,9),"")))))</f>
        <v/>
      </c>
      <c r="T33" s="268" t="str">
        <f t="shared" si="7"/>
        <v/>
      </c>
      <c r="U33" s="269" t="str">
        <f>IF(OR(M33="a",N33="a"),VLOOKUP("a",'Características dos Cabos'!$D$25:$L$29,3),IF(OR(M33="b",M33="c",N33="b",N33="c"),VLOOKUP("b",'Características dos Cabos'!$D$25:$L$29,3),IF(OR(M33="d",M33="e",N33="d",N33="e"),VLOOKUP("c",'Características dos Cabos'!$D$25:$L$29,3),IF(OR(M33="f",M33="g",M33="h",N33="f",N33="g",N33="h"),VLOOKUP("d",'Características dos Cabos'!$D$25:$L$29,3),IF(OR(M33="i",M33="j",M33="l",M33="m",N33="i",N33="j",N33="l",N33="m"),VLOOKUP("e",'Características dos Cabos'!$D$25:$L$29,3),"")))))</f>
        <v/>
      </c>
      <c r="V33" s="270" t="str">
        <f t="shared" si="2"/>
        <v/>
      </c>
      <c r="W33" s="243"/>
      <c r="X33" s="257">
        <f t="shared" si="8"/>
        <v>0</v>
      </c>
      <c r="Y33" s="257">
        <f t="shared" si="9"/>
        <v>0</v>
      </c>
      <c r="Z33" s="243">
        <f>SUM($O$32:O33)</f>
        <v>0</v>
      </c>
      <c r="AB33" s="258" t="str">
        <f t="shared" si="3"/>
        <v/>
      </c>
      <c r="AC33" s="259">
        <f t="shared" si="4"/>
        <v>0</v>
      </c>
      <c r="AE33" s="260" t="s">
        <v>93</v>
      </c>
      <c r="AF33" s="261" t="s">
        <v>94</v>
      </c>
      <c r="AG33" s="257"/>
      <c r="AH33" s="261"/>
    </row>
    <row r="34" spans="1:34" ht="12.75">
      <c r="A34" s="594"/>
      <c r="B34" s="597"/>
      <c r="C34" s="17"/>
      <c r="D34" s="19"/>
      <c r="E34" s="30"/>
      <c r="F34" s="92" t="str">
        <f t="shared" si="5"/>
        <v/>
      </c>
      <c r="G34" s="35"/>
      <c r="H34" s="265" t="str">
        <f>IF(AND(E34="",G34=""),"",SUM(F34:$G$43))</f>
        <v/>
      </c>
      <c r="J34" s="32"/>
      <c r="K34" s="32"/>
      <c r="L34" s="266" t="str">
        <f>IF(OR(J34="",K34=""),"",IF(J34="3",VLOOKUP(M34,'K% (Rede Convencional)'!$B$18:$M$29,8),(IF(J34="2",VLOOKUP(N34,'K% (Rede Convencional)'!$B$18:$M$29,9),(IF(J34="1",VLOOKUP(N34,'K% (Rede Convencional)'!$B$18:$M$29,10),(IF(J34="13",VLOOKUP(N34,'K% (Rede Convencional)'!$B$18:$M$29,11),(IF(J34="12",VLOOKUP(N34,'K% (Rede Convencional)'!$B$18:$M$29,12),0))))))))))</f>
        <v/>
      </c>
      <c r="M34" s="267" t="str">
        <f t="shared" si="6"/>
        <v/>
      </c>
      <c r="N34" s="267" t="str">
        <f>IF(K34="","",IF(K34="4 (4)","a",IF(OR(K34="2 (4)",K34="2 (2)"),VLOOKUP(K34,BT!$AE$21:$AF$22,2,FALSE),IF(OR(K34="1/0 (4)",K34="1/0 (2)"),VLOOKUP(K34,BT!$AE$24:$AF$25,2,FALSE),IF(OR(K34="4/0 (4)",K34="4/0 (2)",K34="4/0 (1/0)"),VLOOKUP(K34,BT!$AE$27:$AF$29,2,FALSE),IF(OR(K34="336,4 (4)",K34="336,4 (2)",K34="336,4 (1/0)",K34="336,4 (4/0)"),VLOOKUP(K34,BT!$AE$31:$AF$34,2,FALSE),0))))))</f>
        <v/>
      </c>
      <c r="O34" s="35"/>
      <c r="P34" s="268" t="str">
        <f t="shared" si="0"/>
        <v/>
      </c>
      <c r="Q34" s="268" t="str">
        <f>IF(P34="","",SUM($P$32:P34))</f>
        <v/>
      </c>
      <c r="R34" s="268" t="str">
        <f t="shared" si="1"/>
        <v/>
      </c>
      <c r="S34" s="269" t="str">
        <f>IF(OR(M34="a",N34="a"),VLOOKUP("a",'Características dos Cabos'!$D$25:$L$29,9),IF(OR(M34="b",M34="c",N34="b",N34="c"),VLOOKUP("b",'Características dos Cabos'!$D$25:$L$29,9),IF(OR(M34="d",M34="e",N34="d",N34="e"),VLOOKUP("c",'Características dos Cabos'!$D$25:$L$29,9),IF(OR(M34="f",M34="g",M34="h",N34="f",N34="g",N34="h"),VLOOKUP("d",'Características dos Cabos'!$D$25:$L$29,9),IF(OR(M34="i",M34="j",M34="l",M34="m",N34="i",N34="j",N34="l",N34="m"),VLOOKUP("e",'Características dos Cabos'!$D$25:$L$29,9),"")))))</f>
        <v/>
      </c>
      <c r="T34" s="268" t="str">
        <f t="shared" si="7"/>
        <v/>
      </c>
      <c r="U34" s="269" t="str">
        <f>IF(OR(M34="a",N34="a"),VLOOKUP("a",'Características dos Cabos'!$D$25:$L$29,3),IF(OR(M34="b",M34="c",N34="b",N34="c"),VLOOKUP("b",'Características dos Cabos'!$D$25:$L$29,3),IF(OR(M34="d",M34="e",N34="d",N34="e"),VLOOKUP("c",'Características dos Cabos'!$D$25:$L$29,3),IF(OR(M34="f",M34="g",M34="h",N34="f",N34="g",N34="h"),VLOOKUP("d",'Características dos Cabos'!$D$25:$L$29,3),IF(OR(M34="i",M34="j",M34="l",M34="m",N34="i",N34="j",N34="l",N34="m"),VLOOKUP("e",'Características dos Cabos'!$D$25:$L$29,3),"")))))</f>
        <v/>
      </c>
      <c r="V34" s="270" t="str">
        <f t="shared" si="2"/>
        <v/>
      </c>
      <c r="W34" s="243"/>
      <c r="X34" s="257">
        <f t="shared" si="8"/>
        <v>0</v>
      </c>
      <c r="Y34" s="257">
        <f t="shared" si="9"/>
        <v>0</v>
      </c>
      <c r="Z34" s="243">
        <f>SUM($O$32:O34)</f>
        <v>0</v>
      </c>
      <c r="AB34" s="258" t="str">
        <f t="shared" si="3"/>
        <v/>
      </c>
      <c r="AC34" s="259">
        <f t="shared" si="4"/>
        <v>0</v>
      </c>
      <c r="AE34" s="283" t="s">
        <v>95</v>
      </c>
      <c r="AF34" s="284" t="s">
        <v>38</v>
      </c>
      <c r="AG34" s="285"/>
      <c r="AH34" s="284"/>
    </row>
    <row r="35" spans="1:29" ht="12.75">
      <c r="A35" s="594"/>
      <c r="B35" s="597"/>
      <c r="C35" s="17"/>
      <c r="D35" s="19"/>
      <c r="E35" s="30"/>
      <c r="F35" s="92" t="str">
        <f t="shared" si="5"/>
        <v/>
      </c>
      <c r="G35" s="35"/>
      <c r="H35" s="265" t="str">
        <f>IF(AND(E35="",G35=""),"",SUM(F35:$G$43))</f>
        <v/>
      </c>
      <c r="J35" s="32"/>
      <c r="K35" s="32"/>
      <c r="L35" s="266" t="str">
        <f>IF(OR(J35="",K35=""),"",IF(J35="3",VLOOKUP(M35,'K% (Rede Convencional)'!$B$18:$M$29,8),(IF(J35="2",VLOOKUP(N35,'K% (Rede Convencional)'!$B$18:$M$29,9),(IF(J35="1",VLOOKUP(N35,'K% (Rede Convencional)'!$B$18:$M$29,10),(IF(J35="13",VLOOKUP(N35,'K% (Rede Convencional)'!$B$18:$M$29,11),(IF(J35="12",VLOOKUP(N35,'K% (Rede Convencional)'!$B$18:$M$29,12),0))))))))))</f>
        <v/>
      </c>
      <c r="M35" s="267" t="str">
        <f t="shared" si="6"/>
        <v/>
      </c>
      <c r="N35" s="267" t="str">
        <f>IF(K35="","",IF(K35="4 (4)","a",IF(OR(K35="2 (4)",K35="2 (2)"),VLOOKUP(K35,BT!$AE$21:$AF$22,2,FALSE),IF(OR(K35="1/0 (4)",K35="1/0 (2)"),VLOOKUP(K35,BT!$AE$24:$AF$25,2,FALSE),IF(OR(K35="4/0 (4)",K35="4/0 (2)",K35="4/0 (1/0)"),VLOOKUP(K35,BT!$AE$27:$AF$29,2,FALSE),IF(OR(K35="336,4 (4)",K35="336,4 (2)",K35="336,4 (1/0)",K35="336,4 (4/0)"),VLOOKUP(K35,BT!$AE$31:$AF$34,2,FALSE),0))))))</f>
        <v/>
      </c>
      <c r="O35" s="35"/>
      <c r="P35" s="268" t="str">
        <f t="shared" si="0"/>
        <v/>
      </c>
      <c r="Q35" s="268" t="str">
        <f>IF(P35="","",SUM($P$32:P35))</f>
        <v/>
      </c>
      <c r="R35" s="268" t="str">
        <f t="shared" si="1"/>
        <v/>
      </c>
      <c r="S35" s="269" t="str">
        <f>IF(OR(M35="a",N35="a"),VLOOKUP("a",'Características dos Cabos'!$D$25:$L$29,9),IF(OR(M35="b",M35="c",N35="b",N35="c"),VLOOKUP("b",'Características dos Cabos'!$D$25:$L$29,9),IF(OR(M35="d",M35="e",N35="d",N35="e"),VLOOKUP("c",'Características dos Cabos'!$D$25:$L$29,9),IF(OR(M35="f",M35="g",M35="h",N35="f",N35="g",N35="h"),VLOOKUP("d",'Características dos Cabos'!$D$25:$L$29,9),IF(OR(M35="i",M35="j",M35="l",M35="m",N35="i",N35="j",N35="l",N35="m"),VLOOKUP("e",'Características dos Cabos'!$D$25:$L$29,9),"")))))</f>
        <v/>
      </c>
      <c r="T35" s="268" t="str">
        <f t="shared" si="7"/>
        <v/>
      </c>
      <c r="U35" s="269" t="str">
        <f>IF(OR(M35="a",N35="a"),VLOOKUP("a",'Características dos Cabos'!$D$25:$L$29,3),IF(OR(M35="b",M35="c",N35="b",N35="c"),VLOOKUP("b",'Características dos Cabos'!$D$25:$L$29,3),IF(OR(M35="d",M35="e",N35="d",N35="e"),VLOOKUP("c",'Características dos Cabos'!$D$25:$L$29,3),IF(OR(M35="f",M35="g",M35="h",N35="f",N35="g",N35="h"),VLOOKUP("d",'Características dos Cabos'!$D$25:$L$29,3),IF(OR(M35="i",M35="j",M35="l",M35="m",N35="i",N35="j",N35="l",N35="m"),VLOOKUP("e",'Características dos Cabos'!$D$25:$L$29,3),"")))))</f>
        <v/>
      </c>
      <c r="V35" s="270" t="str">
        <f t="shared" si="2"/>
        <v/>
      </c>
      <c r="W35" s="243"/>
      <c r="X35" s="257">
        <f t="shared" si="8"/>
        <v>0</v>
      </c>
      <c r="Y35" s="257">
        <f t="shared" si="9"/>
        <v>0</v>
      </c>
      <c r="Z35" s="243">
        <f>SUM($O$32:O35)</f>
        <v>0</v>
      </c>
      <c r="AB35" s="258" t="str">
        <f t="shared" si="3"/>
        <v/>
      </c>
      <c r="AC35" s="259">
        <f t="shared" si="4"/>
        <v>0</v>
      </c>
    </row>
    <row r="36" spans="1:29" ht="12.75">
      <c r="A36" s="594"/>
      <c r="B36" s="597"/>
      <c r="C36" s="17"/>
      <c r="D36" s="19"/>
      <c r="E36" s="30"/>
      <c r="F36" s="92" t="str">
        <f t="shared" si="5"/>
        <v/>
      </c>
      <c r="G36" s="35"/>
      <c r="H36" s="265" t="str">
        <f>IF(AND(E36="",G36=""),"",SUM(F36:$G$43))</f>
        <v/>
      </c>
      <c r="J36" s="32"/>
      <c r="K36" s="32"/>
      <c r="L36" s="266" t="str">
        <f>IF(OR(J36="",K36=""),"",IF(J36="3",VLOOKUP(M36,'K% (Rede Convencional)'!$B$18:$M$29,8),(IF(J36="2",VLOOKUP(N36,'K% (Rede Convencional)'!$B$18:$M$29,9),(IF(J36="1",VLOOKUP(N36,'K% (Rede Convencional)'!$B$18:$M$29,10),(IF(J36="13",VLOOKUP(N36,'K% (Rede Convencional)'!$B$18:$M$29,11),(IF(J36="12",VLOOKUP(N36,'K% (Rede Convencional)'!$B$18:$M$29,12),0))))))))))</f>
        <v/>
      </c>
      <c r="M36" s="267" t="str">
        <f t="shared" si="6"/>
        <v/>
      </c>
      <c r="N36" s="267" t="str">
        <f>IF(K36="","",IF(K36="4 (4)","a",IF(OR(K36="2 (4)",K36="2 (2)"),VLOOKUP(K36,BT!$AE$21:$AF$22,2,FALSE),IF(OR(K36="1/0 (4)",K36="1/0 (2)"),VLOOKUP(K36,BT!$AE$24:$AF$25,2,FALSE),IF(OR(K36="4/0 (4)",K36="4/0 (2)",K36="4/0 (1/0)"),VLOOKUP(K36,BT!$AE$27:$AF$29,2,FALSE),IF(OR(K36="336,4 (4)",K36="336,4 (2)",K36="336,4 (1/0)",K36="336,4 (4/0)"),VLOOKUP(K36,BT!$AE$31:$AF$34,2,FALSE),0))))))</f>
        <v/>
      </c>
      <c r="O36" s="35"/>
      <c r="P36" s="268" t="str">
        <f t="shared" si="0"/>
        <v/>
      </c>
      <c r="Q36" s="268" t="str">
        <f>IF(P36="","",SUM($P$32:P36))</f>
        <v/>
      </c>
      <c r="R36" s="268" t="str">
        <f t="shared" si="1"/>
        <v/>
      </c>
      <c r="S36" s="269" t="str">
        <f>IF(OR(M36="a",N36="a"),VLOOKUP("a",'Características dos Cabos'!$D$25:$L$29,9),IF(OR(M36="b",M36="c",N36="b",N36="c"),VLOOKUP("b",'Características dos Cabos'!$D$25:$L$29,9),IF(OR(M36="d",M36="e",N36="d",N36="e"),VLOOKUP("c",'Características dos Cabos'!$D$25:$L$29,9),IF(OR(M36="f",M36="g",M36="h",N36="f",N36="g",N36="h"),VLOOKUP("d",'Características dos Cabos'!$D$25:$L$29,9),IF(OR(M36="i",M36="j",M36="l",M36="m",N36="i",N36="j",N36="l",N36="m"),VLOOKUP("e",'Características dos Cabos'!$D$25:$L$29,9),"")))))</f>
        <v/>
      </c>
      <c r="T36" s="268" t="str">
        <f t="shared" si="7"/>
        <v/>
      </c>
      <c r="U36" s="269" t="str">
        <f>IF(OR(M36="a",N36="a"),VLOOKUP("a",'Características dos Cabos'!$D$25:$L$29,3),IF(OR(M36="b",M36="c",N36="b",N36="c"),VLOOKUP("b",'Características dos Cabos'!$D$25:$L$29,3),IF(OR(M36="d",M36="e",N36="d",N36="e"),VLOOKUP("c",'Características dos Cabos'!$D$25:$L$29,3),IF(OR(M36="f",M36="g",M36="h",N36="f",N36="g",N36="h"),VLOOKUP("d",'Características dos Cabos'!$D$25:$L$29,3),IF(OR(M36="i",M36="j",M36="l",M36="m",N36="i",N36="j",N36="l",N36="m"),VLOOKUP("e",'Características dos Cabos'!$D$25:$L$29,3),"")))))</f>
        <v/>
      </c>
      <c r="V36" s="270" t="str">
        <f t="shared" si="2"/>
        <v/>
      </c>
      <c r="W36" s="243"/>
      <c r="X36" s="257">
        <f t="shared" si="8"/>
        <v>0</v>
      </c>
      <c r="Y36" s="257">
        <f t="shared" si="9"/>
        <v>0</v>
      </c>
      <c r="Z36" s="243">
        <f>SUM($O$32:O36)</f>
        <v>0</v>
      </c>
      <c r="AB36" s="258" t="str">
        <f t="shared" si="3"/>
        <v/>
      </c>
      <c r="AC36" s="259">
        <f t="shared" si="4"/>
        <v>0</v>
      </c>
    </row>
    <row r="37" spans="1:29" ht="12.75">
      <c r="A37" s="594"/>
      <c r="B37" s="597"/>
      <c r="C37" s="17"/>
      <c r="D37" s="19"/>
      <c r="E37" s="30"/>
      <c r="F37" s="92" t="str">
        <f t="shared" si="5"/>
        <v/>
      </c>
      <c r="G37" s="35"/>
      <c r="H37" s="265" t="str">
        <f>IF(AND(E37="",G37=""),"",SUM(F37:$G$43))</f>
        <v/>
      </c>
      <c r="J37" s="32"/>
      <c r="K37" s="32"/>
      <c r="L37" s="266" t="str">
        <f>IF(OR(J37="",K37=""),"",IF(J37="3",VLOOKUP(M37,'K% (Rede Convencional)'!$B$18:$M$29,8),(IF(J37="2",VLOOKUP(N37,'K% (Rede Convencional)'!$B$18:$M$29,9),(IF(J37="1",VLOOKUP(N37,'K% (Rede Convencional)'!$B$18:$M$29,10),(IF(J37="13",VLOOKUP(N37,'K% (Rede Convencional)'!$B$18:$M$29,11),(IF(J37="12",VLOOKUP(N37,'K% (Rede Convencional)'!$B$18:$M$29,12),0))))))))))</f>
        <v/>
      </c>
      <c r="M37" s="267" t="str">
        <f t="shared" si="6"/>
        <v/>
      </c>
      <c r="N37" s="267" t="str">
        <f>IF(K37="","",IF(K37="4 (4)","a",IF(OR(K37="2 (4)",K37="2 (2)"),VLOOKUP(K37,BT!$AE$21:$AF$22,2,FALSE),IF(OR(K37="1/0 (4)",K37="1/0 (2)"),VLOOKUP(K37,BT!$AE$24:$AF$25,2,FALSE),IF(OR(K37="4/0 (4)",K37="4/0 (2)",K37="4/0 (1/0)"),VLOOKUP(K37,BT!$AE$27:$AF$29,2,FALSE),IF(OR(K37="336,4 (4)",K37="336,4 (2)",K37="336,4 (1/0)",K37="336,4 (4/0)"),VLOOKUP(K37,BT!$AE$31:$AF$34,2,FALSE),0))))))</f>
        <v/>
      </c>
      <c r="O37" s="35"/>
      <c r="P37" s="268" t="str">
        <f t="shared" si="0"/>
        <v/>
      </c>
      <c r="Q37" s="268" t="str">
        <f>IF(P37="","",SUM($P$32:P37))</f>
        <v/>
      </c>
      <c r="R37" s="268" t="str">
        <f t="shared" si="1"/>
        <v/>
      </c>
      <c r="S37" s="269" t="str">
        <f>IF(OR(M37="a",N37="a"),VLOOKUP("a",'Características dos Cabos'!$D$25:$L$29,9),IF(OR(M37="b",M37="c",N37="b",N37="c"),VLOOKUP("b",'Características dos Cabos'!$D$25:$L$29,9),IF(OR(M37="d",M37="e",N37="d",N37="e"),VLOOKUP("c",'Características dos Cabos'!$D$25:$L$29,9),IF(OR(M37="f",M37="g",M37="h",N37="f",N37="g",N37="h"),VLOOKUP("d",'Características dos Cabos'!$D$25:$L$29,9),IF(OR(M37="i",M37="j",M37="l",M37="m",N37="i",N37="j",N37="l",N37="m"),VLOOKUP("e",'Características dos Cabos'!$D$25:$L$29,9),"")))))</f>
        <v/>
      </c>
      <c r="T37" s="268" t="str">
        <f t="shared" si="7"/>
        <v/>
      </c>
      <c r="U37" s="269" t="str">
        <f>IF(OR(M37="a",N37="a"),VLOOKUP("a",'Características dos Cabos'!$D$25:$L$29,3),IF(OR(M37="b",M37="c",N37="b",N37="c"),VLOOKUP("b",'Características dos Cabos'!$D$25:$L$29,3),IF(OR(M37="d",M37="e",N37="d",N37="e"),VLOOKUP("c",'Características dos Cabos'!$D$25:$L$29,3),IF(OR(M37="f",M37="g",M37="h",N37="f",N37="g",N37="h"),VLOOKUP("d",'Características dos Cabos'!$D$25:$L$29,3),IF(OR(M37="i",M37="j",M37="l",M37="m",N37="i",N37="j",N37="l",N37="m"),VLOOKUP("e",'Características dos Cabos'!$D$25:$L$29,3),"")))))</f>
        <v/>
      </c>
      <c r="V37" s="270" t="str">
        <f t="shared" si="2"/>
        <v/>
      </c>
      <c r="W37" s="243"/>
      <c r="X37" s="257">
        <f t="shared" si="8"/>
        <v>0</v>
      </c>
      <c r="Y37" s="257">
        <f t="shared" si="9"/>
        <v>0</v>
      </c>
      <c r="Z37" s="243">
        <f>SUM($O$32:O37)</f>
        <v>0</v>
      </c>
      <c r="AB37" s="258" t="str">
        <f t="shared" si="3"/>
        <v/>
      </c>
      <c r="AC37" s="259">
        <f t="shared" si="4"/>
        <v>0</v>
      </c>
    </row>
    <row r="38" spans="1:29" ht="12.75">
      <c r="A38" s="594"/>
      <c r="B38" s="597"/>
      <c r="C38" s="17"/>
      <c r="D38" s="19"/>
      <c r="E38" s="30"/>
      <c r="F38" s="92" t="str">
        <f t="shared" si="5"/>
        <v/>
      </c>
      <c r="G38" s="35"/>
      <c r="H38" s="265" t="str">
        <f>IF(AND(E38="",G38=""),"",SUM(F38:$G$43))</f>
        <v/>
      </c>
      <c r="J38" s="32"/>
      <c r="K38" s="32"/>
      <c r="L38" s="266" t="str">
        <f>IF(OR(J38="",K38=""),"",IF(J38="3",VLOOKUP(M38,'K% (Rede Convencional)'!$B$18:$M$29,8),(IF(J38="2",VLOOKUP(N38,'K% (Rede Convencional)'!$B$18:$M$29,9),(IF(J38="1",VLOOKUP(N38,'K% (Rede Convencional)'!$B$18:$M$29,10),(IF(J38="13",VLOOKUP(N38,'K% (Rede Convencional)'!$B$18:$M$29,11),(IF(J38="12",VLOOKUP(N38,'K% (Rede Convencional)'!$B$18:$M$29,12),0))))))))))</f>
        <v/>
      </c>
      <c r="M38" s="267" t="str">
        <f t="shared" si="6"/>
        <v/>
      </c>
      <c r="N38" s="267" t="str">
        <f>IF(K38="","",IF(K38="4 (4)","a",IF(OR(K38="2 (4)",K38="2 (2)"),VLOOKUP(K38,BT!$AE$21:$AF$22,2,FALSE),IF(OR(K38="1/0 (4)",K38="1/0 (2)"),VLOOKUP(K38,BT!$AE$24:$AF$25,2,FALSE),IF(OR(K38="4/0 (4)",K38="4/0 (2)",K38="4/0 (1/0)"),VLOOKUP(K38,BT!$AE$27:$AF$29,2,FALSE),IF(OR(K38="336,4 (4)",K38="336,4 (2)",K38="336,4 (1/0)",K38="336,4 (4/0)"),VLOOKUP(K38,BT!$AE$31:$AF$34,2,FALSE),0))))))</f>
        <v/>
      </c>
      <c r="O38" s="35"/>
      <c r="P38" s="268" t="str">
        <f t="shared" si="0"/>
        <v/>
      </c>
      <c r="Q38" s="268" t="str">
        <f>IF(P38="","",SUM($P$32:P38))</f>
        <v/>
      </c>
      <c r="R38" s="268" t="str">
        <f t="shared" si="1"/>
        <v/>
      </c>
      <c r="S38" s="269" t="str">
        <f>IF(OR(M38="a",N38="a"),VLOOKUP("a",'Características dos Cabos'!$D$25:$L$29,9),IF(OR(M38="b",M38="c",N38="b",N38="c"),VLOOKUP("b",'Características dos Cabos'!$D$25:$L$29,9),IF(OR(M38="d",M38="e",N38="d",N38="e"),VLOOKUP("c",'Características dos Cabos'!$D$25:$L$29,9),IF(OR(M38="f",M38="g",M38="h",N38="f",N38="g",N38="h"),VLOOKUP("d",'Características dos Cabos'!$D$25:$L$29,9),IF(OR(M38="i",M38="j",M38="l",M38="m",N38="i",N38="j",N38="l",N38="m"),VLOOKUP("e",'Características dos Cabos'!$D$25:$L$29,9),"")))))</f>
        <v/>
      </c>
      <c r="T38" s="268" t="str">
        <f t="shared" si="7"/>
        <v/>
      </c>
      <c r="U38" s="269" t="str">
        <f>IF(OR(M38="a",N38="a"),VLOOKUP("a",'Características dos Cabos'!$D$25:$L$29,3),IF(OR(M38="b",M38="c",N38="b",N38="c"),VLOOKUP("b",'Características dos Cabos'!$D$25:$L$29,3),IF(OR(M38="d",M38="e",N38="d",N38="e"),VLOOKUP("c",'Características dos Cabos'!$D$25:$L$29,3),IF(OR(M38="f",M38="g",M38="h",N38="f",N38="g",N38="h"),VLOOKUP("d",'Características dos Cabos'!$D$25:$L$29,3),IF(OR(M38="i",M38="j",M38="l",M38="m",N38="i",N38="j",N38="l",N38="m"),VLOOKUP("e",'Características dos Cabos'!$D$25:$L$29,3),"")))))</f>
        <v/>
      </c>
      <c r="V38" s="270" t="str">
        <f t="shared" si="2"/>
        <v/>
      </c>
      <c r="W38" s="243"/>
      <c r="X38" s="257">
        <f t="shared" si="8"/>
        <v>0</v>
      </c>
      <c r="Y38" s="257">
        <f t="shared" si="9"/>
        <v>0</v>
      </c>
      <c r="Z38" s="243">
        <f>SUM($O$32:O38)</f>
        <v>0</v>
      </c>
      <c r="AB38" s="258" t="str">
        <f t="shared" si="3"/>
        <v/>
      </c>
      <c r="AC38" s="259">
        <f t="shared" si="4"/>
        <v>0</v>
      </c>
    </row>
    <row r="39" spans="1:29" ht="12.75">
      <c r="A39" s="594"/>
      <c r="B39" s="597"/>
      <c r="C39" s="17"/>
      <c r="D39" s="19"/>
      <c r="E39" s="30"/>
      <c r="F39" s="92" t="str">
        <f t="shared" si="5"/>
        <v/>
      </c>
      <c r="G39" s="35"/>
      <c r="H39" s="265" t="str">
        <f>IF(AND(E39="",G39=""),"",SUM(F39:$G$43))</f>
        <v/>
      </c>
      <c r="J39" s="32"/>
      <c r="K39" s="32"/>
      <c r="L39" s="266" t="str">
        <f>IF(OR(J39="",K39=""),"",IF(J39="3",VLOOKUP(M39,'K% (Rede Convencional)'!$B$18:$M$29,8),(IF(J39="2",VLOOKUP(N39,'K% (Rede Convencional)'!$B$18:$M$29,9),(IF(J39="1",VLOOKUP(N39,'K% (Rede Convencional)'!$B$18:$M$29,10),(IF(J39="13",VLOOKUP(N39,'K% (Rede Convencional)'!$B$18:$M$29,11),(IF(J39="12",VLOOKUP(N39,'K% (Rede Convencional)'!$B$18:$M$29,12),0))))))))))</f>
        <v/>
      </c>
      <c r="M39" s="267" t="str">
        <f t="shared" si="6"/>
        <v/>
      </c>
      <c r="N39" s="267" t="str">
        <f>IF(K39="","",IF(K39="4 (4)","a",IF(OR(K39="2 (4)",K39="2 (2)"),VLOOKUP(K39,BT!$AE$21:$AF$22,2,FALSE),IF(OR(K39="1/0 (4)",K39="1/0 (2)"),VLOOKUP(K39,BT!$AE$24:$AF$25,2,FALSE),IF(OR(K39="4/0 (4)",K39="4/0 (2)",K39="4/0 (1/0)"),VLOOKUP(K39,BT!$AE$27:$AF$29,2,FALSE),IF(OR(K39="336,4 (4)",K39="336,4 (2)",K39="336,4 (1/0)",K39="336,4 (4/0)"),VLOOKUP(K39,BT!$AE$31:$AF$34,2,FALSE),0))))))</f>
        <v/>
      </c>
      <c r="O39" s="35"/>
      <c r="P39" s="268" t="str">
        <f t="shared" si="0"/>
        <v/>
      </c>
      <c r="Q39" s="268" t="str">
        <f>IF(P39="","",SUM($P$32:P39))</f>
        <v/>
      </c>
      <c r="R39" s="268" t="str">
        <f t="shared" si="1"/>
        <v/>
      </c>
      <c r="S39" s="269" t="str">
        <f>IF(OR(M39="a",N39="a"),VLOOKUP("a",'Características dos Cabos'!$D$25:$L$29,9),IF(OR(M39="b",M39="c",N39="b",N39="c"),VLOOKUP("b",'Características dos Cabos'!$D$25:$L$29,9),IF(OR(M39="d",M39="e",N39="d",N39="e"),VLOOKUP("c",'Características dos Cabos'!$D$25:$L$29,9),IF(OR(M39="f",M39="g",M39="h",N39="f",N39="g",N39="h"),VLOOKUP("d",'Características dos Cabos'!$D$25:$L$29,9),IF(OR(M39="i",M39="j",M39="l",M39="m",N39="i",N39="j",N39="l",N39="m"),VLOOKUP("e",'Características dos Cabos'!$D$25:$L$29,9),"")))))</f>
        <v/>
      </c>
      <c r="T39" s="268" t="str">
        <f t="shared" si="7"/>
        <v/>
      </c>
      <c r="U39" s="269" t="str">
        <f>IF(OR(M39="a",N39="a"),VLOOKUP("a",'Características dos Cabos'!$D$25:$L$29,3),IF(OR(M39="b",M39="c",N39="b",N39="c"),VLOOKUP("b",'Características dos Cabos'!$D$25:$L$29,3),IF(OR(M39="d",M39="e",N39="d",N39="e"),VLOOKUP("c",'Características dos Cabos'!$D$25:$L$29,3),IF(OR(M39="f",M39="g",M39="h",N39="f",N39="g",N39="h"),VLOOKUP("d",'Características dos Cabos'!$D$25:$L$29,3),IF(OR(M39="i",M39="j",M39="l",M39="m",N39="i",N39="j",N39="l",N39="m"),VLOOKUP("e",'Características dos Cabos'!$D$25:$L$29,3),"")))))</f>
        <v/>
      </c>
      <c r="V39" s="270" t="str">
        <f t="shared" si="2"/>
        <v/>
      </c>
      <c r="W39" s="243"/>
      <c r="X39" s="257">
        <f t="shared" si="8"/>
        <v>0</v>
      </c>
      <c r="Y39" s="257">
        <f t="shared" si="9"/>
        <v>0</v>
      </c>
      <c r="Z39" s="243">
        <f>SUM($O$32:O39)</f>
        <v>0</v>
      </c>
      <c r="AB39" s="258" t="str">
        <f t="shared" si="3"/>
        <v/>
      </c>
      <c r="AC39" s="259">
        <f t="shared" si="4"/>
        <v>0</v>
      </c>
    </row>
    <row r="40" spans="1:29" ht="12.75">
      <c r="A40" s="594"/>
      <c r="B40" s="597"/>
      <c r="C40" s="17"/>
      <c r="D40" s="19"/>
      <c r="E40" s="30"/>
      <c r="F40" s="92" t="str">
        <f t="shared" si="5"/>
        <v/>
      </c>
      <c r="G40" s="35"/>
      <c r="H40" s="265" t="str">
        <f>IF(AND(E40="",G40=""),"",SUM(F40:$G$43))</f>
        <v/>
      </c>
      <c r="J40" s="32"/>
      <c r="K40" s="32"/>
      <c r="L40" s="266" t="str">
        <f>IF(OR(J40="",K40=""),"",IF(J40="3",VLOOKUP(M40,'K% (Rede Convencional)'!$B$18:$M$29,8),(IF(J40="2",VLOOKUP(N40,'K% (Rede Convencional)'!$B$18:$M$29,9),(IF(J40="1",VLOOKUP(N40,'K% (Rede Convencional)'!$B$18:$M$29,10),(IF(J40="13",VLOOKUP(N40,'K% (Rede Convencional)'!$B$18:$M$29,11),(IF(J40="12",VLOOKUP(N40,'K% (Rede Convencional)'!$B$18:$M$29,12),0))))))))))</f>
        <v/>
      </c>
      <c r="M40" s="267" t="str">
        <f t="shared" si="6"/>
        <v/>
      </c>
      <c r="N40" s="267" t="str">
        <f>IF(K40="","",IF(K40="4 (4)","a",IF(OR(K40="2 (4)",K40="2 (2)"),VLOOKUP(K40,BT!$AE$21:$AF$22,2,FALSE),IF(OR(K40="1/0 (4)",K40="1/0 (2)"),VLOOKUP(K40,BT!$AE$24:$AF$25,2,FALSE),IF(OR(K40="4/0 (4)",K40="4/0 (2)",K40="4/0 (1/0)"),VLOOKUP(K40,BT!$AE$27:$AF$29,2,FALSE),IF(OR(K40="336,4 (4)",K40="336,4 (2)",K40="336,4 (1/0)",K40="336,4 (4/0)"),VLOOKUP(K40,BT!$AE$31:$AF$34,2,FALSE),0))))))</f>
        <v/>
      </c>
      <c r="O40" s="35"/>
      <c r="P40" s="268" t="str">
        <f t="shared" si="0"/>
        <v/>
      </c>
      <c r="Q40" s="268" t="str">
        <f>IF(P40="","",SUM($P$32:P40))</f>
        <v/>
      </c>
      <c r="R40" s="268" t="str">
        <f t="shared" si="1"/>
        <v/>
      </c>
      <c r="S40" s="269" t="str">
        <f>IF(OR(M40="a",N40="a"),VLOOKUP("a",'Características dos Cabos'!$D$25:$L$29,9),IF(OR(M40="b",M40="c",N40="b",N40="c"),VLOOKUP("b",'Características dos Cabos'!$D$25:$L$29,9),IF(OR(M40="d",M40="e",N40="d",N40="e"),VLOOKUP("c",'Características dos Cabos'!$D$25:$L$29,9),IF(OR(M40="f",M40="g",M40="h",N40="f",N40="g",N40="h"),VLOOKUP("d",'Características dos Cabos'!$D$25:$L$29,9),IF(OR(M40="i",M40="j",M40="l",M40="m",N40="i",N40="j",N40="l",N40="m"),VLOOKUP("e",'Características dos Cabos'!$D$25:$L$29,9),"")))))</f>
        <v/>
      </c>
      <c r="T40" s="268" t="str">
        <f t="shared" si="7"/>
        <v/>
      </c>
      <c r="U40" s="269" t="str">
        <f>IF(OR(M40="a",N40="a"),VLOOKUP("a",'Características dos Cabos'!$D$25:$L$29,3),IF(OR(M40="b",M40="c",N40="b",N40="c"),VLOOKUP("b",'Características dos Cabos'!$D$25:$L$29,3),IF(OR(M40="d",M40="e",N40="d",N40="e"),VLOOKUP("c",'Características dos Cabos'!$D$25:$L$29,3),IF(OR(M40="f",M40="g",M40="h",N40="f",N40="g",N40="h"),VLOOKUP("d",'Características dos Cabos'!$D$25:$L$29,3),IF(OR(M40="i",M40="j",M40="l",M40="m",N40="i",N40="j",N40="l",N40="m"),VLOOKUP("e",'Características dos Cabos'!$D$25:$L$29,3),"")))))</f>
        <v/>
      </c>
      <c r="V40" s="270" t="str">
        <f t="shared" si="2"/>
        <v/>
      </c>
      <c r="W40" s="243"/>
      <c r="X40" s="257">
        <f t="shared" si="8"/>
        <v>0</v>
      </c>
      <c r="Y40" s="257">
        <f t="shared" si="9"/>
        <v>0</v>
      </c>
      <c r="Z40" s="243">
        <f>SUM($O$32:O40)</f>
        <v>0</v>
      </c>
      <c r="AB40" s="258" t="str">
        <f t="shared" si="3"/>
        <v/>
      </c>
      <c r="AC40" s="259">
        <f t="shared" si="4"/>
        <v>0</v>
      </c>
    </row>
    <row r="41" spans="1:29" ht="12.75" customHeight="1">
      <c r="A41" s="594"/>
      <c r="B41" s="597"/>
      <c r="C41" s="17"/>
      <c r="D41" s="19"/>
      <c r="E41" s="30"/>
      <c r="F41" s="92" t="str">
        <f t="shared" si="5"/>
        <v/>
      </c>
      <c r="G41" s="35"/>
      <c r="H41" s="265" t="str">
        <f>IF(AND(E41="",G41=""),"",SUM(F41:$G$43))</f>
        <v/>
      </c>
      <c r="J41" s="32"/>
      <c r="K41" s="32"/>
      <c r="L41" s="266" t="str">
        <f>IF(OR(J41="",K41=""),"",IF(J41="3",VLOOKUP(M41,'K% (Rede Convencional)'!$B$18:$M$29,8),(IF(J41="2",VLOOKUP(N41,'K% (Rede Convencional)'!$B$18:$M$29,9),(IF(J41="1",VLOOKUP(N41,'K% (Rede Convencional)'!$B$18:$M$29,10),(IF(J41="13",VLOOKUP(N41,'K% (Rede Convencional)'!$B$18:$M$29,11),(IF(J41="12",VLOOKUP(N41,'K% (Rede Convencional)'!$B$18:$M$29,12),0))))))))))</f>
        <v/>
      </c>
      <c r="M41" s="267" t="str">
        <f t="shared" si="6"/>
        <v/>
      </c>
      <c r="N41" s="267" t="str">
        <f>IF(K41="","",IF(K41="4 (4)","a",IF(OR(K41="2 (4)",K41="2 (2)"),VLOOKUP(K41,BT!$AE$21:$AF$22,2,FALSE),IF(OR(K41="1/0 (4)",K41="1/0 (2)"),VLOOKUP(K41,BT!$AE$24:$AF$25,2,FALSE),IF(OR(K41="4/0 (4)",K41="4/0 (2)",K41="4/0 (1/0)"),VLOOKUP(K41,BT!$AE$27:$AF$29,2,FALSE),IF(OR(K41="336,4 (4)",K41="336,4 (2)",K41="336,4 (1/0)",K41="336,4 (4/0)"),VLOOKUP(K41,BT!$AE$31:$AF$34,2,FALSE),0))))))</f>
        <v/>
      </c>
      <c r="O41" s="35"/>
      <c r="P41" s="268" t="str">
        <f t="shared" si="0"/>
        <v/>
      </c>
      <c r="Q41" s="268" t="str">
        <f>IF(P41="","",SUM($P$32:P41))</f>
        <v/>
      </c>
      <c r="R41" s="268" t="str">
        <f t="shared" si="1"/>
        <v/>
      </c>
      <c r="S41" s="269" t="str">
        <f>IF(OR(M41="a",N41="a"),VLOOKUP("a",'Características dos Cabos'!$D$25:$L$29,9),IF(OR(M41="b",M41="c",N41="b",N41="c"),VLOOKUP("b",'Características dos Cabos'!$D$25:$L$29,9),IF(OR(M41="d",M41="e",N41="d",N41="e"),VLOOKUP("c",'Características dos Cabos'!$D$25:$L$29,9),IF(OR(M41="f",M41="g",M41="h",N41="f",N41="g",N41="h"),VLOOKUP("d",'Características dos Cabos'!$D$25:$L$29,9),IF(OR(M41="i",M41="j",M41="l",M41="m",N41="i",N41="j",N41="l",N41="m"),VLOOKUP("e",'Características dos Cabos'!$D$25:$L$29,9),"")))))</f>
        <v/>
      </c>
      <c r="T41" s="268" t="str">
        <f t="shared" si="7"/>
        <v/>
      </c>
      <c r="U41" s="269" t="str">
        <f>IF(OR(M41="a",N41="a"),VLOOKUP("a",'Características dos Cabos'!$D$25:$L$29,3),IF(OR(M41="b",M41="c",N41="b",N41="c"),VLOOKUP("b",'Características dos Cabos'!$D$25:$L$29,3),IF(OR(M41="d",M41="e",N41="d",N41="e"),VLOOKUP("c",'Características dos Cabos'!$D$25:$L$29,3),IF(OR(M41="f",M41="g",M41="h",N41="f",N41="g",N41="h"),VLOOKUP("d",'Características dos Cabos'!$D$25:$L$29,3),IF(OR(M41="i",M41="j",M41="l",M41="m",N41="i",N41="j",N41="l",N41="m"),VLOOKUP("e",'Características dos Cabos'!$D$25:$L$29,3),"")))))</f>
        <v/>
      </c>
      <c r="V41" s="270" t="str">
        <f t="shared" si="2"/>
        <v/>
      </c>
      <c r="W41" s="243"/>
      <c r="X41" s="257">
        <f t="shared" si="8"/>
        <v>0</v>
      </c>
      <c r="Y41" s="257">
        <f t="shared" si="9"/>
        <v>0</v>
      </c>
      <c r="Z41" s="243">
        <f>SUM($O$32:O41)</f>
        <v>0</v>
      </c>
      <c r="AB41" s="258" t="str">
        <f t="shared" si="3"/>
        <v/>
      </c>
      <c r="AC41" s="259">
        <f t="shared" si="4"/>
        <v>0</v>
      </c>
    </row>
    <row r="42" spans="1:29" ht="12.75">
      <c r="A42" s="594"/>
      <c r="B42" s="597"/>
      <c r="C42" s="17"/>
      <c r="D42" s="19"/>
      <c r="E42" s="30"/>
      <c r="F42" s="92" t="str">
        <f t="shared" si="5"/>
        <v/>
      </c>
      <c r="G42" s="35"/>
      <c r="H42" s="265" t="str">
        <f>IF(AND(E42="",G42=""),"",SUM(F42:$G$43))</f>
        <v/>
      </c>
      <c r="J42" s="32"/>
      <c r="K42" s="32"/>
      <c r="L42" s="266" t="str">
        <f>IF(OR(J42="",K42=""),"",IF(J42="3",VLOOKUP(M42,'K% (Rede Convencional)'!$B$18:$M$29,8),(IF(J42="2",VLOOKUP(N42,'K% (Rede Convencional)'!$B$18:$M$29,9),(IF(J42="1",VLOOKUP(N42,'K% (Rede Convencional)'!$B$18:$M$29,10),(IF(J42="13",VLOOKUP(N42,'K% (Rede Convencional)'!$B$18:$M$29,11),(IF(J42="12",VLOOKUP(N42,'K% (Rede Convencional)'!$B$18:$M$29,12),0))))))))))</f>
        <v/>
      </c>
      <c r="M42" s="267" t="str">
        <f t="shared" si="6"/>
        <v/>
      </c>
      <c r="N42" s="267" t="str">
        <f>IF(K42="","",IF(K42="4 (4)","a",IF(OR(K42="2 (4)",K42="2 (2)"),VLOOKUP(K42,BT!$AE$21:$AF$22,2,FALSE),IF(OR(K42="1/0 (4)",K42="1/0 (2)"),VLOOKUP(K42,BT!$AE$24:$AF$25,2,FALSE),IF(OR(K42="4/0 (4)",K42="4/0 (2)",K42="4/0 (1/0)"),VLOOKUP(K42,BT!$AE$27:$AF$29,2,FALSE),IF(OR(K42="336,4 (4)",K42="336,4 (2)",K42="336,4 (1/0)",K42="336,4 (4/0)"),VLOOKUP(K42,BT!$AE$31:$AF$34,2,FALSE),0))))))</f>
        <v/>
      </c>
      <c r="O42" s="35"/>
      <c r="P42" s="268" t="str">
        <f t="shared" si="0"/>
        <v/>
      </c>
      <c r="Q42" s="268" t="str">
        <f>IF(P42="","",SUM($P$32:P42))</f>
        <v/>
      </c>
      <c r="R42" s="268" t="str">
        <f t="shared" si="1"/>
        <v/>
      </c>
      <c r="S42" s="269" t="str">
        <f>IF(OR(M42="a",N42="a"),VLOOKUP("a",'Características dos Cabos'!$D$25:$L$29,9),IF(OR(M42="b",M42="c",N42="b",N42="c"),VLOOKUP("b",'Características dos Cabos'!$D$25:$L$29,9),IF(OR(M42="d",M42="e",N42="d",N42="e"),VLOOKUP("c",'Características dos Cabos'!$D$25:$L$29,9),IF(OR(M42="f",M42="g",M42="h",N42="f",N42="g",N42="h"),VLOOKUP("d",'Características dos Cabos'!$D$25:$L$29,9),IF(OR(M42="i",M42="j",M42="l",M42="m",N42="i",N42="j",N42="l",N42="m"),VLOOKUP("e",'Características dos Cabos'!$D$25:$L$29,9),"")))))</f>
        <v/>
      </c>
      <c r="T42" s="268" t="str">
        <f t="shared" si="7"/>
        <v/>
      </c>
      <c r="U42" s="269" t="str">
        <f>IF(OR(M42="a",N42="a"),VLOOKUP("a",'Características dos Cabos'!$D$25:$L$29,3),IF(OR(M42="b",M42="c",N42="b",N42="c"),VLOOKUP("b",'Características dos Cabos'!$D$25:$L$29,3),IF(OR(M42="d",M42="e",N42="d",N42="e"),VLOOKUP("c",'Características dos Cabos'!$D$25:$L$29,3),IF(OR(M42="f",M42="g",M42="h",N42="f",N42="g",N42="h"),VLOOKUP("d",'Características dos Cabos'!$D$25:$L$29,3),IF(OR(M42="i",M42="j",M42="l",M42="m",N42="i",N42="j",N42="l",N42="m"),VLOOKUP("e",'Características dos Cabos'!$D$25:$L$29,3),"")))))</f>
        <v/>
      </c>
      <c r="V42" s="270" t="str">
        <f t="shared" si="2"/>
        <v/>
      </c>
      <c r="W42" s="243"/>
      <c r="X42" s="257">
        <f t="shared" si="8"/>
        <v>0</v>
      </c>
      <c r="Y42" s="257">
        <f t="shared" si="9"/>
        <v>0</v>
      </c>
      <c r="Z42" s="243">
        <f>SUM($O$32:O42)</f>
        <v>0</v>
      </c>
      <c r="AB42" s="258" t="str">
        <f t="shared" si="3"/>
        <v/>
      </c>
      <c r="AC42" s="259">
        <f t="shared" si="4"/>
        <v>0</v>
      </c>
    </row>
    <row r="43" spans="1:29" ht="13.5" thickBot="1">
      <c r="A43" s="595"/>
      <c r="B43" s="598"/>
      <c r="C43" s="18"/>
      <c r="D43" s="20"/>
      <c r="E43" s="31"/>
      <c r="F43" s="54" t="str">
        <f t="shared" si="5"/>
        <v/>
      </c>
      <c r="G43" s="36"/>
      <c r="H43" s="286" t="str">
        <f>IF(AND(E43="",G43=""),"",SUM(F43:$G$43))</f>
        <v/>
      </c>
      <c r="J43" s="33"/>
      <c r="K43" s="33"/>
      <c r="L43" s="287" t="str">
        <f>IF(OR(J43="",K43=""),"",IF(J43="3",VLOOKUP(M43,'K% (Rede Convencional)'!$B$18:$M$29,8),(IF(J43="2",VLOOKUP(N43,'K% (Rede Convencional)'!$B$18:$M$29,9),(IF(J43="1",VLOOKUP(N43,'K% (Rede Convencional)'!$B$18:$M$29,10),(IF(J43="13",VLOOKUP(N43,'K% (Rede Convencional)'!$B$18:$M$29,11),(IF(J43="12",VLOOKUP(N43,'K% (Rede Convencional)'!$B$18:$M$29,12),0))))))))))</f>
        <v/>
      </c>
      <c r="M43" s="288" t="str">
        <f t="shared" si="6"/>
        <v/>
      </c>
      <c r="N43" s="288" t="str">
        <f>IF(K43="","",IF(K43="4 (4)","a",IF(OR(K43="2 (4)",K43="2 (2)"),VLOOKUP(K43,BT!$AE$21:$AF$22,2,FALSE),IF(OR(K43="1/0 (4)",K43="1/0 (2)"),VLOOKUP(K43,BT!$AE$24:$AF$25,2,FALSE),IF(OR(K43="4/0 (4)",K43="4/0 (2)",K43="4/0 (1/0)"),VLOOKUP(K43,BT!$AE$27:$AF$29,2,FALSE),IF(OR(K43="336,4 (4)",K43="336,4 (2)",K43="336,4 (1/0)",K43="336,4 (4/0)"),VLOOKUP(K43,BT!$AE$31:$AF$34,2,FALSE),0))))))</f>
        <v/>
      </c>
      <c r="O43" s="36"/>
      <c r="P43" s="289" t="str">
        <f t="shared" si="0"/>
        <v/>
      </c>
      <c r="Q43" s="289" t="str">
        <f>IF(P43="","",SUM($P$32:P43))</f>
        <v/>
      </c>
      <c r="R43" s="289" t="str">
        <f t="shared" si="1"/>
        <v/>
      </c>
      <c r="S43" s="290" t="str">
        <f>IF(OR(M43="a",N43="a"),VLOOKUP("a",'Características dos Cabos'!$D$25:$L$29,9),IF(OR(M43="b",M43="c",N43="b",N43="c"),VLOOKUP("b",'Características dos Cabos'!$D$25:$L$29,9),IF(OR(M43="d",M43="e",N43="d",N43="e"),VLOOKUP("c",'Características dos Cabos'!$D$25:$L$29,9),IF(OR(M43="f",M43="g",M43="h",N43="f",N43="g",N43="h"),VLOOKUP("d",'Características dos Cabos'!$D$25:$L$29,9),IF(OR(M43="i",M43="j",M43="l",M43="m",N43="i",N43="j",N43="l",N43="m"),VLOOKUP("e",'Características dos Cabos'!$D$25:$L$29,9),"")))))</f>
        <v/>
      </c>
      <c r="T43" s="289" t="str">
        <f t="shared" si="7"/>
        <v/>
      </c>
      <c r="U43" s="290" t="str">
        <f>IF(OR(M43="a",N43="a"),VLOOKUP("a",'Características dos Cabos'!$D$25:$L$29,3),IF(OR(M43="b",M43="c",N43="b",N43="c"),VLOOKUP("b",'Características dos Cabos'!$D$25:$L$29,3),IF(OR(M43="d",M43="e",N43="d",N43="e"),VLOOKUP("c",'Características dos Cabos'!$D$25:$L$29,3),IF(OR(M43="f",M43="g",M43="h",N43="f",N43="g",N43="h"),VLOOKUP("d",'Características dos Cabos'!$D$25:$L$29,3),IF(OR(M43="i",M43="j",M43="l",M43="m",N43="i",N43="j",N43="l",N43="m"),VLOOKUP("e",'Características dos Cabos'!$D$25:$L$29,3),"")))))</f>
        <v/>
      </c>
      <c r="V43" s="291" t="str">
        <f t="shared" si="2"/>
        <v/>
      </c>
      <c r="W43" s="243"/>
      <c r="X43" s="257">
        <f t="shared" si="8"/>
        <v>0</v>
      </c>
      <c r="Y43" s="257">
        <f t="shared" si="9"/>
        <v>0</v>
      </c>
      <c r="Z43" s="243">
        <f>SUM($O$32:O43)</f>
        <v>0</v>
      </c>
      <c r="AB43" s="258" t="str">
        <f t="shared" si="3"/>
        <v/>
      </c>
      <c r="AC43" s="292">
        <f t="shared" si="4"/>
        <v>0</v>
      </c>
    </row>
    <row r="44" spans="1:26" ht="11.25" customHeight="1" thickTop="1" thickBot="1">
      <c r="A44" s="2"/>
      <c r="B44" s="2"/>
      <c r="C44" s="94"/>
      <c r="D44" s="94"/>
      <c r="E44" s="293"/>
      <c r="F44" s="294"/>
      <c r="G44" s="2"/>
      <c r="H44" s="2"/>
      <c r="J44" s="2"/>
      <c r="K44" s="2"/>
      <c r="L44" s="295"/>
      <c r="M44" s="296"/>
      <c r="N44" s="296"/>
      <c r="O44" s="2"/>
      <c r="P44" s="297"/>
      <c r="Q44" s="2"/>
      <c r="R44" s="155"/>
      <c r="S44" s="298"/>
      <c r="T44" s="297"/>
      <c r="U44" s="298"/>
      <c r="V44" s="299"/>
      <c r="W44" s="243"/>
      <c r="X44" s="257"/>
      <c r="Y44" s="257"/>
      <c r="Z44" s="243"/>
    </row>
    <row r="45" spans="1:26" ht="15" customHeight="1" thickTop="1">
      <c r="A45" s="638" t="s">
        <v>96</v>
      </c>
      <c r="B45" s="641" t="str">
        <f>CONCATENATE("Ramal 1 - Derivando no ponto ",C45)</f>
        <v xml:space="preserve">Ramal 1 - Derivando no ponto </v>
      </c>
      <c r="C45" s="26"/>
      <c r="D45" s="22"/>
      <c r="E45" s="37"/>
      <c r="F45" s="92"/>
      <c r="G45" s="37"/>
      <c r="H45" s="278" t="str">
        <f>IF(AND(E45="",G45=""),"",SUM(F45:G54))</f>
        <v/>
      </c>
      <c r="J45" s="22"/>
      <c r="K45" s="22"/>
      <c r="L45" s="279" t="str">
        <f>IF(OR(J45="",K45=""),"",IF(J45="3",VLOOKUP(M45,'K% (Rede Convencional)'!$B$18:$M$29,8),(IF(J45="2",VLOOKUP(N45,'K% (Rede Convencional)'!$B$18:$M$29,9),(IF(J45="1",VLOOKUP(N45,'K% (Rede Convencional)'!$B$18:$M$29,10),(IF(J45="13",VLOOKUP(N45,'K% (Rede Convencional)'!$B$18:$M$29,11),(IF(J45="12",VLOOKUP(N45,'K% (Rede Convencional)'!$B$18:$M$29,12),0))))))))))</f>
        <v/>
      </c>
      <c r="M45" s="253" t="str">
        <f t="shared" si="6"/>
        <v/>
      </c>
      <c r="N45" s="253" t="str">
        <f>IF(K45="","",IF(K45="4 (4)","a",IF(OR(K45="2 (4)",K45="2 (2)"),VLOOKUP(K45,BT!$AE$21:$AF$22,2,FALSE),IF(OR(K45="1/0 (4)",K45="1/0 (2)"),VLOOKUP(K45,BT!$AE$24:$AF$25,2,FALSE),IF(OR(K45="4/0 (4)",K45="4/0 (2)",K45="4/0 (1/0)"),VLOOKUP(K45,BT!$AE$27:$AF$29,2,FALSE),IF(OR(K45="336,4 (4)",K45="336,4 (2)",K45="336,4 (1/0)",K45="336,4 (4/0)"),VLOOKUP(K45,BT!$AE$31:$AF$34,2,FALSE),0))))))</f>
        <v/>
      </c>
      <c r="O45" s="37"/>
      <c r="P45" s="280" t="str">
        <f t="shared" si="10" ref="P45:P76">IF(OR(H45="",L45="",O45=""),"",L45*H45*O45)</f>
        <v/>
      </c>
      <c r="Q45" s="280" t="str">
        <f>IF(P45="","",P45+VLOOKUP(C45,$D$21:$Q$43,13,FALSE))</f>
        <v/>
      </c>
      <c r="R45" s="280" t="str">
        <f t="shared" si="11" ref="R45:R76">IF(H45="","",IF(J45="3",H45*1000/($D$14*SQRT(3)),IF(J45="2",H45*1000*SQRT(3)/($D$14*2),IF(J45="1",H45*1000*SQRT(3)/$D$14,IF(J45="13",H45*1000/$D$16,IF(J45="12",H45*1000*2/$D$16,"erro"))))))</f>
        <v/>
      </c>
      <c r="S45" s="281" t="str">
        <f>IF(OR(M45="a",N45="a"),VLOOKUP("a",'Características dos Cabos'!$D$25:$L$29,9),IF(OR(M45="b",M45="c",N45="b",N45="c"),VLOOKUP("b",'Características dos Cabos'!$D$25:$L$29,9),IF(OR(M45="d",M45="e",N45="d",N45="e"),VLOOKUP("c",'Características dos Cabos'!$D$25:$L$29,9),IF(OR(M45="f",M45="g",M45="h",N45="f",N45="g",N45="h"),VLOOKUP("d",'Características dos Cabos'!$D$25:$L$29,9),IF(OR(M45="i",M45="j",M45="l",M45="m",N45="i",N45="j",N45="l",N45="m"),VLOOKUP("e",'Características dos Cabos'!$D$25:$L$29,9),"")))))</f>
        <v/>
      </c>
      <c r="T45" s="280" t="str">
        <f t="shared" si="7"/>
        <v/>
      </c>
      <c r="U45" s="281" t="str">
        <f>IF(OR(M45="a",N45="a"),VLOOKUP("a",'Características dos Cabos'!$D$25:$L$29,3),IF(OR(M45="b",M45="c",N45="b",N45="c"),VLOOKUP("b",'Características dos Cabos'!$D$25:$L$29,3),IF(OR(M45="d",M45="e",N45="d",N45="e"),VLOOKUP("c",'Características dos Cabos'!$D$25:$L$29,3),IF(OR(M45="f",M45="g",M45="h",N45="f",N45="g",N45="h"),VLOOKUP("d",'Características dos Cabos'!$D$25:$L$29,3),IF(OR(M45="i",M45="j",M45="l",M45="m",N45="i",N45="j",N45="l",N45="m"),VLOOKUP("e",'Características dos Cabos'!$D$25:$L$29,3),"")))))</f>
        <v/>
      </c>
      <c r="V45" s="282" t="str">
        <f t="shared" si="12" ref="V45:V76">IF(OR(O45="",$G$16="",H45="",N45=""),"",IF(J45="3",3*$L$12*U45*O45/1000*R45^2*8.76,IF(OR(J45="2",J45="13"),2*$L$12*U45*O45/1000*R45^2*8.76,IF(OR(J45="1",J45="12"),$L$12*U45*O45/1000*R45^2*8.76))))</f>
        <v/>
      </c>
      <c r="W45" s="445" t="e">
        <f>VLOOKUP(C45,$D$21:$Q$43,13,FALSE)</f>
        <v>#N/A</v>
      </c>
      <c r="X45" s="257">
        <f t="shared" si="8"/>
        <v>0</v>
      </c>
      <c r="Y45" s="257">
        <f t="shared" si="9"/>
        <v>0</v>
      </c>
      <c r="Z45" s="243"/>
    </row>
    <row r="46" spans="1:26" ht="15" customHeight="1">
      <c r="A46" s="639"/>
      <c r="B46" s="642"/>
      <c r="C46" s="27"/>
      <c r="D46" s="23"/>
      <c r="E46" s="38"/>
      <c r="F46" s="92"/>
      <c r="G46" s="38"/>
      <c r="H46" s="265" t="str">
        <f>IF(AND(E46="",G46=""),"",SUM(F46:G54))</f>
        <v/>
      </c>
      <c r="J46" s="23"/>
      <c r="K46" s="23"/>
      <c r="L46" s="266" t="str">
        <f>IF(OR(J46="",K46=""),"",IF(J46="3",VLOOKUP(M46,'K% (Rede Convencional)'!$B$18:$M$29,8),(IF(J46="2",VLOOKUP(N46,'K% (Rede Convencional)'!$B$18:$M$29,9),(IF(J46="1",VLOOKUP(N46,'K% (Rede Convencional)'!$B$18:$M$29,10),(IF(J46="13",VLOOKUP(N46,'K% (Rede Convencional)'!$B$18:$M$29,11),(IF(J46="12",VLOOKUP(N46,'K% (Rede Convencional)'!$B$18:$M$29,12),0))))))))))</f>
        <v/>
      </c>
      <c r="M46" s="267" t="str">
        <f t="shared" si="6"/>
        <v/>
      </c>
      <c r="N46" s="267" t="str">
        <f>IF(K46="","",IF(K46="4 (4)","a",IF(OR(K46="2 (4)",K46="2 (2)"),VLOOKUP(K46,BT!$AE$21:$AF$22,2,FALSE),IF(OR(K46="1/0 (4)",K46="1/0 (2)"),VLOOKUP(K46,BT!$AE$24:$AF$25,2,FALSE),IF(OR(K46="4/0 (4)",K46="4/0 (2)",K46="4/0 (1/0)"),VLOOKUP(K46,BT!$AE$27:$AF$29,2,FALSE),IF(OR(K46="336,4 (4)",K46="336,4 (2)",K46="336,4 (1/0)",K46="336,4 (4/0)"),VLOOKUP(K46,BT!$AE$31:$AF$34,2,FALSE),0))))))</f>
        <v/>
      </c>
      <c r="O46" s="38"/>
      <c r="P46" s="268" t="str">
        <f t="shared" si="10"/>
        <v/>
      </c>
      <c r="Q46" s="268" t="str">
        <f>IF(P46="","",SUM($P$45:P46)+$W$45)</f>
        <v/>
      </c>
      <c r="R46" s="268" t="str">
        <f t="shared" si="11"/>
        <v/>
      </c>
      <c r="S46" s="269" t="str">
        <f>IF(OR(M46="a",N46="a"),VLOOKUP("a",'Características dos Cabos'!$D$25:$L$29,9),IF(OR(M46="b",M46="c",N46="b",N46="c"),VLOOKUP("b",'Características dos Cabos'!$D$25:$L$29,9),IF(OR(M46="d",M46="e",N46="d",N46="e"),VLOOKUP("c",'Características dos Cabos'!$D$25:$L$29,9),IF(OR(M46="f",M46="g",M46="h",N46="f",N46="g",N46="h"),VLOOKUP("d",'Características dos Cabos'!$D$25:$L$29,9),IF(OR(M46="i",M46="j",M46="l",M46="m",N46="i",N46="j",N46="l",N46="m"),VLOOKUP("e",'Características dos Cabos'!$D$25:$L$29,9),"")))))</f>
        <v/>
      </c>
      <c r="T46" s="268" t="str">
        <f t="shared" si="7"/>
        <v/>
      </c>
      <c r="U46" s="269" t="str">
        <f>IF(OR(M46="a",N46="a"),VLOOKUP("a",'Características dos Cabos'!$D$25:$L$29,3),IF(OR(M46="b",M46="c",N46="b",N46="c"),VLOOKUP("b",'Características dos Cabos'!$D$25:$L$29,3),IF(OR(M46="d",M46="e",N46="d",N46="e"),VLOOKUP("c",'Características dos Cabos'!$D$25:$L$29,3),IF(OR(M46="f",M46="g",M46="h",N46="f",N46="g",N46="h"),VLOOKUP("d",'Características dos Cabos'!$D$25:$L$29,3),IF(OR(M46="i",M46="j",M46="l",M46="m",N46="i",N46="j",N46="l",N46="m"),VLOOKUP("e",'Características dos Cabos'!$D$25:$L$29,3),"")))))</f>
        <v/>
      </c>
      <c r="V46" s="270" t="str">
        <f t="shared" si="12"/>
        <v/>
      </c>
      <c r="W46" s="243"/>
      <c r="X46" s="257">
        <f t="shared" si="8"/>
        <v>0</v>
      </c>
      <c r="Y46" s="257">
        <f t="shared" si="9"/>
        <v>0</v>
      </c>
      <c r="Z46" s="243"/>
    </row>
    <row r="47" spans="1:26" ht="15" customHeight="1">
      <c r="A47" s="639"/>
      <c r="B47" s="642"/>
      <c r="C47" s="27"/>
      <c r="D47" s="23"/>
      <c r="E47" s="38"/>
      <c r="F47" s="92" t="str">
        <f t="shared" si="5"/>
        <v/>
      </c>
      <c r="G47" s="38"/>
      <c r="H47" s="265" t="str">
        <f>IF(AND(E47="",G47=""),"",SUM(F47:G54))</f>
        <v/>
      </c>
      <c r="J47" s="23"/>
      <c r="K47" s="23"/>
      <c r="L47" s="266" t="str">
        <f>IF(OR(J47="",K47=""),"",IF(J47="3",VLOOKUP(M47,'K% (Rede Convencional)'!$B$18:$M$29,8),(IF(J47="2",VLOOKUP(N47,'K% (Rede Convencional)'!$B$18:$M$29,9),(IF(J47="1",VLOOKUP(N47,'K% (Rede Convencional)'!$B$18:$M$29,10),(IF(J47="13",VLOOKUP(N47,'K% (Rede Convencional)'!$B$18:$M$29,11),(IF(J47="12",VLOOKUP(N47,'K% (Rede Convencional)'!$B$18:$M$29,12),0))))))))))</f>
        <v/>
      </c>
      <c r="M47" s="267" t="str">
        <f t="shared" si="6"/>
        <v/>
      </c>
      <c r="N47" s="267" t="str">
        <f>IF(K47="","",IF(K47="4 (4)","a",IF(OR(K47="2 (4)",K47="2 (2)"),VLOOKUP(K47,BT!$AE$21:$AF$22,2,FALSE),IF(OR(K47="1/0 (4)",K47="1/0 (2)"),VLOOKUP(K47,BT!$AE$24:$AF$25,2,FALSE),IF(OR(K47="4/0 (4)",K47="4/0 (2)",K47="4/0 (1/0)"),VLOOKUP(K47,BT!$AE$27:$AF$29,2,FALSE),IF(OR(K47="336,4 (4)",K47="336,4 (2)",K47="336,4 (1/0)",K47="336,4 (4/0)"),VLOOKUP(K47,BT!$AE$31:$AF$34,2,FALSE),0))))))</f>
        <v/>
      </c>
      <c r="O47" s="38"/>
      <c r="P47" s="268" t="str">
        <f t="shared" si="10"/>
        <v/>
      </c>
      <c r="Q47" s="268" t="str">
        <f>IF(P47="","",SUM($P$45:P47)+$W$45)</f>
        <v/>
      </c>
      <c r="R47" s="268" t="str">
        <f t="shared" si="11"/>
        <v/>
      </c>
      <c r="S47" s="269" t="str">
        <f>IF(OR(M47="a",N47="a"),VLOOKUP("a",'Características dos Cabos'!$D$25:$L$29,9),IF(OR(M47="b",M47="c",N47="b",N47="c"),VLOOKUP("b",'Características dos Cabos'!$D$25:$L$29,9),IF(OR(M47="d",M47="e",N47="d",N47="e"),VLOOKUP("c",'Características dos Cabos'!$D$25:$L$29,9),IF(OR(M47="f",M47="g",M47="h",N47="f",N47="g",N47="h"),VLOOKUP("d",'Características dos Cabos'!$D$25:$L$29,9),IF(OR(M47="i",M47="j",M47="l",M47="m",N47="i",N47="j",N47="l",N47="m"),VLOOKUP("e",'Características dos Cabos'!$D$25:$L$29,9),"")))))</f>
        <v/>
      </c>
      <c r="T47" s="268" t="str">
        <f t="shared" si="7"/>
        <v/>
      </c>
      <c r="U47" s="269" t="str">
        <f>IF(OR(M47="a",N47="a"),VLOOKUP("a",'Características dos Cabos'!$D$25:$L$29,3),IF(OR(M47="b",M47="c",N47="b",N47="c"),VLOOKUP("b",'Características dos Cabos'!$D$25:$L$29,3),IF(OR(M47="d",M47="e",N47="d",N47="e"),VLOOKUP("c",'Características dos Cabos'!$D$25:$L$29,3),IF(OR(M47="f",M47="g",M47="h",N47="f",N47="g",N47="h"),VLOOKUP("d",'Características dos Cabos'!$D$25:$L$29,3),IF(OR(M47="i",M47="j",M47="l",M47="m",N47="i",N47="j",N47="l",N47="m"),VLOOKUP("e",'Características dos Cabos'!$D$25:$L$29,3),"")))))</f>
        <v/>
      </c>
      <c r="V47" s="270" t="str">
        <f t="shared" si="12"/>
        <v/>
      </c>
      <c r="W47" s="243"/>
      <c r="X47" s="257">
        <f t="shared" si="8"/>
        <v>0</v>
      </c>
      <c r="Y47" s="257">
        <f t="shared" si="9"/>
        <v>0</v>
      </c>
      <c r="Z47" s="243"/>
    </row>
    <row r="48" spans="1:26" ht="15" customHeight="1">
      <c r="A48" s="639"/>
      <c r="B48" s="642"/>
      <c r="C48" s="27"/>
      <c r="D48" s="23"/>
      <c r="E48" s="38"/>
      <c r="F48" s="92" t="str">
        <f t="shared" si="5"/>
        <v/>
      </c>
      <c r="G48" s="38"/>
      <c r="H48" s="265" t="str">
        <f>IF(AND(E48="",G48=""),"",SUM(F48:G54))</f>
        <v/>
      </c>
      <c r="J48" s="23"/>
      <c r="K48" s="23"/>
      <c r="L48" s="266" t="str">
        <f>IF(OR(J48="",K48=""),"",IF(J48="3",VLOOKUP(M48,'K% (Rede Convencional)'!$B$18:$M$29,8),(IF(J48="2",VLOOKUP(N48,'K% (Rede Convencional)'!$B$18:$M$29,9),(IF(J48="1",VLOOKUP(N48,'K% (Rede Convencional)'!$B$18:$M$29,10),(IF(J48="13",VLOOKUP(N48,'K% (Rede Convencional)'!$B$18:$M$29,11),(IF(J48="12",VLOOKUP(N48,'K% (Rede Convencional)'!$B$18:$M$29,12),0))))))))))</f>
        <v/>
      </c>
      <c r="M48" s="267" t="str">
        <f t="shared" si="6"/>
        <v/>
      </c>
      <c r="N48" s="267" t="str">
        <f>IF(K48="","",IF(K48="4 (4)","a",IF(OR(K48="2 (4)",K48="2 (2)"),VLOOKUP(K48,BT!$AE$21:$AF$22,2,FALSE),IF(OR(K48="1/0 (4)",K48="1/0 (2)"),VLOOKUP(K48,BT!$AE$24:$AF$25,2,FALSE),IF(OR(K48="4/0 (4)",K48="4/0 (2)",K48="4/0 (1/0)"),VLOOKUP(K48,BT!$AE$27:$AF$29,2,FALSE),IF(OR(K48="336,4 (4)",K48="336,4 (2)",K48="336,4 (1/0)",K48="336,4 (4/0)"),VLOOKUP(K48,BT!$AE$31:$AF$34,2,FALSE),0))))))</f>
        <v/>
      </c>
      <c r="O48" s="38"/>
      <c r="P48" s="268" t="str">
        <f t="shared" si="10"/>
        <v/>
      </c>
      <c r="Q48" s="268" t="str">
        <f>IF(P48="","",SUM($P$45:P48)+$W$45)</f>
        <v/>
      </c>
      <c r="R48" s="268" t="str">
        <f t="shared" si="11"/>
        <v/>
      </c>
      <c r="S48" s="269" t="str">
        <f>IF(OR(M48="a",N48="a"),VLOOKUP("a",'Características dos Cabos'!$D$25:$L$29,9),IF(OR(M48="b",M48="c",N48="b",N48="c"),VLOOKUP("b",'Características dos Cabos'!$D$25:$L$29,9),IF(OR(M48="d",M48="e",N48="d",N48="e"),VLOOKUP("c",'Características dos Cabos'!$D$25:$L$29,9),IF(OR(M48="f",M48="g",M48="h",N48="f",N48="g",N48="h"),VLOOKUP("d",'Características dos Cabos'!$D$25:$L$29,9),IF(OR(M48="i",M48="j",M48="l",M48="m",N48="i",N48="j",N48="l",N48="m"),VLOOKUP("e",'Características dos Cabos'!$D$25:$L$29,9),"")))))</f>
        <v/>
      </c>
      <c r="T48" s="268" t="str">
        <f t="shared" si="7"/>
        <v/>
      </c>
      <c r="U48" s="269" t="str">
        <f>IF(OR(M48="a",N48="a"),VLOOKUP("a",'Características dos Cabos'!$D$25:$L$29,3),IF(OR(M48="b",M48="c",N48="b",N48="c"),VLOOKUP("b",'Características dos Cabos'!$D$25:$L$29,3),IF(OR(M48="d",M48="e",N48="d",N48="e"),VLOOKUP("c",'Características dos Cabos'!$D$25:$L$29,3),IF(OR(M48="f",M48="g",M48="h",N48="f",N48="g",N48="h"),VLOOKUP("d",'Características dos Cabos'!$D$25:$L$29,3),IF(OR(M48="i",M48="j",M48="l",M48="m",N48="i",N48="j",N48="l",N48="m"),VLOOKUP("e",'Características dos Cabos'!$D$25:$L$29,3),"")))))</f>
        <v/>
      </c>
      <c r="V48" s="270" t="str">
        <f t="shared" si="12"/>
        <v/>
      </c>
      <c r="W48" s="243"/>
      <c r="X48" s="257">
        <f t="shared" si="8"/>
        <v>0</v>
      </c>
      <c r="Y48" s="257">
        <f t="shared" si="9"/>
        <v>0</v>
      </c>
      <c r="Z48" s="243"/>
    </row>
    <row r="49" spans="1:26" ht="15" customHeight="1">
      <c r="A49" s="639"/>
      <c r="B49" s="642"/>
      <c r="C49" s="27"/>
      <c r="D49" s="23"/>
      <c r="E49" s="38"/>
      <c r="F49" s="92" t="str">
        <f t="shared" si="5"/>
        <v/>
      </c>
      <c r="G49" s="38"/>
      <c r="H49" s="265" t="str">
        <f>IF(AND(E49="",G49=""),"",SUM(F49:G54))</f>
        <v/>
      </c>
      <c r="J49" s="23"/>
      <c r="K49" s="23"/>
      <c r="L49" s="266" t="str">
        <f>IF(OR(J49="",K49=""),"",IF(J49="3",VLOOKUP(M49,'K% (Rede Convencional)'!$B$18:$M$29,8),(IF(J49="2",VLOOKUP(N49,'K% (Rede Convencional)'!$B$18:$M$29,9),(IF(J49="1",VLOOKUP(N49,'K% (Rede Convencional)'!$B$18:$M$29,10),(IF(J49="13",VLOOKUP(N49,'K% (Rede Convencional)'!$B$18:$M$29,11),(IF(J49="12",VLOOKUP(N49,'K% (Rede Convencional)'!$B$18:$M$29,12),0))))))))))</f>
        <v/>
      </c>
      <c r="M49" s="267" t="str">
        <f t="shared" si="6"/>
        <v/>
      </c>
      <c r="N49" s="267" t="str">
        <f>IF(K49="","",IF(K49="4 (4)","a",IF(OR(K49="2 (4)",K49="2 (2)"),VLOOKUP(K49,BT!$AE$21:$AF$22,2,FALSE),IF(OR(K49="1/0 (4)",K49="1/0 (2)"),VLOOKUP(K49,BT!$AE$24:$AF$25,2,FALSE),IF(OR(K49="4/0 (4)",K49="4/0 (2)",K49="4/0 (1/0)"),VLOOKUP(K49,BT!$AE$27:$AF$29,2,FALSE),IF(OR(K49="336,4 (4)",K49="336,4 (2)",K49="336,4 (1/0)",K49="336,4 (4/0)"),VLOOKUP(K49,BT!$AE$31:$AF$34,2,FALSE),0))))))</f>
        <v/>
      </c>
      <c r="O49" s="38"/>
      <c r="P49" s="268" t="str">
        <f t="shared" si="10"/>
        <v/>
      </c>
      <c r="Q49" s="268" t="str">
        <f>IF(P49="","",SUM($P$45:P49)+$W$45)</f>
        <v/>
      </c>
      <c r="R49" s="268" t="str">
        <f t="shared" si="11"/>
        <v/>
      </c>
      <c r="S49" s="269" t="str">
        <f>IF(OR(M49="a",N49="a"),VLOOKUP("a",'Características dos Cabos'!$D$25:$L$29,9),IF(OR(M49="b",M49="c",N49="b",N49="c"),VLOOKUP("b",'Características dos Cabos'!$D$25:$L$29,9),IF(OR(M49="d",M49="e",N49="d",N49="e"),VLOOKUP("c",'Características dos Cabos'!$D$25:$L$29,9),IF(OR(M49="f",M49="g",M49="h",N49="f",N49="g",N49="h"),VLOOKUP("d",'Características dos Cabos'!$D$25:$L$29,9),IF(OR(M49="i",M49="j",M49="l",M49="m",N49="i",N49="j",N49="l",N49="m"),VLOOKUP("e",'Características dos Cabos'!$D$25:$L$29,9),"")))))</f>
        <v/>
      </c>
      <c r="T49" s="268" t="str">
        <f t="shared" si="7"/>
        <v/>
      </c>
      <c r="U49" s="269" t="str">
        <f>IF(OR(M49="a",N49="a"),VLOOKUP("a",'Características dos Cabos'!$D$25:$L$29,3),IF(OR(M49="b",M49="c",N49="b",N49="c"),VLOOKUP("b",'Características dos Cabos'!$D$25:$L$29,3),IF(OR(M49="d",M49="e",N49="d",N49="e"),VLOOKUP("c",'Características dos Cabos'!$D$25:$L$29,3),IF(OR(M49="f",M49="g",M49="h",N49="f",N49="g",N49="h"),VLOOKUP("d",'Características dos Cabos'!$D$25:$L$29,3),IF(OR(M49="i",M49="j",M49="l",M49="m",N49="i",N49="j",N49="l",N49="m"),VLOOKUP("e",'Características dos Cabos'!$D$25:$L$29,3),"")))))</f>
        <v/>
      </c>
      <c r="V49" s="270" t="str">
        <f t="shared" si="12"/>
        <v/>
      </c>
      <c r="W49" s="243"/>
      <c r="X49" s="257">
        <f t="shared" si="8"/>
        <v>0</v>
      </c>
      <c r="Y49" s="257">
        <f t="shared" si="9"/>
        <v>0</v>
      </c>
      <c r="Z49" s="243"/>
    </row>
    <row r="50" spans="1:26" ht="15" customHeight="1">
      <c r="A50" s="639"/>
      <c r="B50" s="642"/>
      <c r="C50" s="27"/>
      <c r="D50" s="23"/>
      <c r="E50" s="38"/>
      <c r="F50" s="92" t="str">
        <f t="shared" si="5"/>
        <v/>
      </c>
      <c r="G50" s="38"/>
      <c r="H50" s="265" t="str">
        <f>IF(AND(E50="",G50=""),"",SUM(F50:G54))</f>
        <v/>
      </c>
      <c r="J50" s="23"/>
      <c r="K50" s="23"/>
      <c r="L50" s="266" t="str">
        <f>IF(OR(J50="",K50=""),"",IF(J50="3",VLOOKUP(M50,'K% (Rede Convencional)'!$B$18:$M$29,8),(IF(J50="2",VLOOKUP(N50,'K% (Rede Convencional)'!$B$18:$M$29,9),(IF(J50="1",VLOOKUP(N50,'K% (Rede Convencional)'!$B$18:$M$29,10),(IF(J50="13",VLOOKUP(N50,'K% (Rede Convencional)'!$B$18:$M$29,11),(IF(J50="12",VLOOKUP(N50,'K% (Rede Convencional)'!$B$18:$M$29,12),0))))))))))</f>
        <v/>
      </c>
      <c r="M50" s="267" t="str">
        <f t="shared" si="6"/>
        <v/>
      </c>
      <c r="N50" s="267" t="str">
        <f>IF(K50="","",IF(K50="4 (4)","a",IF(OR(K50="2 (4)",K50="2 (2)"),VLOOKUP(K50,BT!$AE$21:$AF$22,2,FALSE),IF(OR(K50="1/0 (4)",K50="1/0 (2)"),VLOOKUP(K50,BT!$AE$24:$AF$25,2,FALSE),IF(OR(K50="4/0 (4)",K50="4/0 (2)",K50="4/0 (1/0)"),VLOOKUP(K50,BT!$AE$27:$AF$29,2,FALSE),IF(OR(K50="336,4 (4)",K50="336,4 (2)",K50="336,4 (1/0)",K50="336,4 (4/0)"),VLOOKUP(K50,BT!$AE$31:$AF$34,2,FALSE),0))))))</f>
        <v/>
      </c>
      <c r="O50" s="38"/>
      <c r="P50" s="268" t="str">
        <f t="shared" si="10"/>
        <v/>
      </c>
      <c r="Q50" s="268" t="str">
        <f>IF(P50="","",SUM($P$45:P50)+$W$45)</f>
        <v/>
      </c>
      <c r="R50" s="268" t="str">
        <f t="shared" si="11"/>
        <v/>
      </c>
      <c r="S50" s="269" t="str">
        <f>IF(OR(M50="a",N50="a"),VLOOKUP("a",'Características dos Cabos'!$D$25:$L$29,9),IF(OR(M50="b",M50="c",N50="b",N50="c"),VLOOKUP("b",'Características dos Cabos'!$D$25:$L$29,9),IF(OR(M50="d",M50="e",N50="d",N50="e"),VLOOKUP("c",'Características dos Cabos'!$D$25:$L$29,9),IF(OR(M50="f",M50="g",M50="h",N50="f",N50="g",N50="h"),VLOOKUP("d",'Características dos Cabos'!$D$25:$L$29,9),IF(OR(M50="i",M50="j",M50="l",M50="m",N50="i",N50="j",N50="l",N50="m"),VLOOKUP("e",'Características dos Cabos'!$D$25:$L$29,9),"")))))</f>
        <v/>
      </c>
      <c r="T50" s="268" t="str">
        <f t="shared" si="7"/>
        <v/>
      </c>
      <c r="U50" s="269" t="str">
        <f>IF(OR(M50="a",N50="a"),VLOOKUP("a",'Características dos Cabos'!$D$25:$L$29,3),IF(OR(M50="b",M50="c",N50="b",N50="c"),VLOOKUP("b",'Características dos Cabos'!$D$25:$L$29,3),IF(OR(M50="d",M50="e",N50="d",N50="e"),VLOOKUP("c",'Características dos Cabos'!$D$25:$L$29,3),IF(OR(M50="f",M50="g",M50="h",N50="f",N50="g",N50="h"),VLOOKUP("d",'Características dos Cabos'!$D$25:$L$29,3),IF(OR(M50="i",M50="j",M50="l",M50="m",N50="i",N50="j",N50="l",N50="m"),VLOOKUP("e",'Características dos Cabos'!$D$25:$L$29,3),"")))))</f>
        <v/>
      </c>
      <c r="V50" s="270" t="str">
        <f t="shared" si="12"/>
        <v/>
      </c>
      <c r="W50" s="243"/>
      <c r="X50" s="257">
        <f t="shared" si="8"/>
        <v>0</v>
      </c>
      <c r="Y50" s="257">
        <f t="shared" si="9"/>
        <v>0</v>
      </c>
      <c r="Z50" s="243"/>
    </row>
    <row r="51" spans="1:26" ht="15" customHeight="1">
      <c r="A51" s="639"/>
      <c r="B51" s="642"/>
      <c r="C51" s="27"/>
      <c r="D51" s="23"/>
      <c r="E51" s="38"/>
      <c r="F51" s="92" t="str">
        <f t="shared" si="5"/>
        <v/>
      </c>
      <c r="G51" s="38"/>
      <c r="H51" s="265" t="str">
        <f>IF(AND(E51="",G51=""),"",SUM(F51:G54))</f>
        <v/>
      </c>
      <c r="J51" s="23"/>
      <c r="K51" s="23"/>
      <c r="L51" s="266" t="str">
        <f>IF(OR(J51="",K51=""),"",IF(J51="3",VLOOKUP(M51,'K% (Rede Convencional)'!$B$18:$M$29,8),(IF(J51="2",VLOOKUP(N51,'K% (Rede Convencional)'!$B$18:$M$29,9),(IF(J51="1",VLOOKUP(N51,'K% (Rede Convencional)'!$B$18:$M$29,10),(IF(J51="13",VLOOKUP(N51,'K% (Rede Convencional)'!$B$18:$M$29,11),(IF(J51="12",VLOOKUP(N51,'K% (Rede Convencional)'!$B$18:$M$29,12),0))))))))))</f>
        <v/>
      </c>
      <c r="M51" s="267" t="str">
        <f t="shared" si="6"/>
        <v/>
      </c>
      <c r="N51" s="267" t="str">
        <f>IF(K51="","",IF(K51="4 (4)","a",IF(OR(K51="2 (4)",K51="2 (2)"),VLOOKUP(K51,BT!$AE$21:$AF$22,2,FALSE),IF(OR(K51="1/0 (4)",K51="1/0 (2)"),VLOOKUP(K51,BT!$AE$24:$AF$25,2,FALSE),IF(OR(K51="4/0 (4)",K51="4/0 (2)",K51="4/0 (1/0)"),VLOOKUP(K51,BT!$AE$27:$AF$29,2,FALSE),IF(OR(K51="336,4 (4)",K51="336,4 (2)",K51="336,4 (1/0)",K51="336,4 (4/0)"),VLOOKUP(K51,BT!$AE$31:$AF$34,2,FALSE),0))))))</f>
        <v/>
      </c>
      <c r="O51" s="38"/>
      <c r="P51" s="268" t="str">
        <f t="shared" si="10"/>
        <v/>
      </c>
      <c r="Q51" s="268" t="str">
        <f>IF(P51="","",SUM($P$45:P51)+$W$45)</f>
        <v/>
      </c>
      <c r="R51" s="268" t="str">
        <f t="shared" si="11"/>
        <v/>
      </c>
      <c r="S51" s="269" t="str">
        <f>IF(OR(M51="a",N51="a"),VLOOKUP("a",'Características dos Cabos'!$D$25:$L$29,9),IF(OR(M51="b",M51="c",N51="b",N51="c"),VLOOKUP("b",'Características dos Cabos'!$D$25:$L$29,9),IF(OR(M51="d",M51="e",N51="d",N51="e"),VLOOKUP("c",'Características dos Cabos'!$D$25:$L$29,9),IF(OR(M51="f",M51="g",M51="h",N51="f",N51="g",N51="h"),VLOOKUP("d",'Características dos Cabos'!$D$25:$L$29,9),IF(OR(M51="i",M51="j",M51="l",M51="m",N51="i",N51="j",N51="l",N51="m"),VLOOKUP("e",'Características dos Cabos'!$D$25:$L$29,9),"")))))</f>
        <v/>
      </c>
      <c r="T51" s="268" t="str">
        <f t="shared" si="7"/>
        <v/>
      </c>
      <c r="U51" s="269" t="str">
        <f>IF(OR(M51="a",N51="a"),VLOOKUP("a",'Características dos Cabos'!$D$25:$L$29,3),IF(OR(M51="b",M51="c",N51="b",N51="c"),VLOOKUP("b",'Características dos Cabos'!$D$25:$L$29,3),IF(OR(M51="d",M51="e",N51="d",N51="e"),VLOOKUP("c",'Características dos Cabos'!$D$25:$L$29,3),IF(OR(M51="f",M51="g",M51="h",N51="f",N51="g",N51="h"),VLOOKUP("d",'Características dos Cabos'!$D$25:$L$29,3),IF(OR(M51="i",M51="j",M51="l",M51="m",N51="i",N51="j",N51="l",N51="m"),VLOOKUP("e",'Características dos Cabos'!$D$25:$L$29,3),"")))))</f>
        <v/>
      </c>
      <c r="V51" s="270" t="str">
        <f t="shared" si="12"/>
        <v/>
      </c>
      <c r="W51" s="243"/>
      <c r="X51" s="257">
        <f t="shared" si="8"/>
        <v>0</v>
      </c>
      <c r="Y51" s="257">
        <f t="shared" si="9"/>
        <v>0</v>
      </c>
      <c r="Z51" s="243"/>
    </row>
    <row r="52" spans="1:26" ht="15" customHeight="1">
      <c r="A52" s="639"/>
      <c r="B52" s="642"/>
      <c r="C52" s="27"/>
      <c r="D52" s="23"/>
      <c r="E52" s="38"/>
      <c r="F52" s="92" t="str">
        <f t="shared" si="5"/>
        <v/>
      </c>
      <c r="G52" s="38"/>
      <c r="H52" s="265" t="str">
        <f>IF(AND(E52="",G52=""),"",SUM(F52:G54))</f>
        <v/>
      </c>
      <c r="J52" s="23"/>
      <c r="K52" s="23"/>
      <c r="L52" s="266" t="str">
        <f>IF(OR(J52="",K52=""),"",IF(J52="3",VLOOKUP(M52,'K% (Rede Convencional)'!$B$18:$M$29,8),(IF(J52="2",VLOOKUP(N52,'K% (Rede Convencional)'!$B$18:$M$29,9),(IF(J52="1",VLOOKUP(N52,'K% (Rede Convencional)'!$B$18:$M$29,10),(IF(J52="13",VLOOKUP(N52,'K% (Rede Convencional)'!$B$18:$M$29,11),(IF(J52="12",VLOOKUP(N52,'K% (Rede Convencional)'!$B$18:$M$29,12),0))))))))))</f>
        <v/>
      </c>
      <c r="M52" s="267" t="str">
        <f t="shared" si="6"/>
        <v/>
      </c>
      <c r="N52" s="267" t="str">
        <f>IF(K52="","",IF(K52="4 (4)","a",IF(OR(K52="2 (4)",K52="2 (2)"),VLOOKUP(K52,BT!$AE$21:$AF$22,2,FALSE),IF(OR(K52="1/0 (4)",K52="1/0 (2)"),VLOOKUP(K52,BT!$AE$24:$AF$25,2,FALSE),IF(OR(K52="4/0 (4)",K52="4/0 (2)",K52="4/0 (1/0)"),VLOOKUP(K52,BT!$AE$27:$AF$29,2,FALSE),IF(OR(K52="336,4 (4)",K52="336,4 (2)",K52="336,4 (1/0)",K52="336,4 (4/0)"),VLOOKUP(K52,BT!$AE$31:$AF$34,2,FALSE),0))))))</f>
        <v/>
      </c>
      <c r="O52" s="38"/>
      <c r="P52" s="268" t="str">
        <f t="shared" si="10"/>
        <v/>
      </c>
      <c r="Q52" s="268" t="str">
        <f>IF(P52="","",SUM($P$45:P52)+$W$45)</f>
        <v/>
      </c>
      <c r="R52" s="268" t="str">
        <f t="shared" si="11"/>
        <v/>
      </c>
      <c r="S52" s="269" t="str">
        <f>IF(OR(M52="a",N52="a"),VLOOKUP("a",'Características dos Cabos'!$D$25:$L$29,9),IF(OR(M52="b",M52="c",N52="b",N52="c"),VLOOKUP("b",'Características dos Cabos'!$D$25:$L$29,9),IF(OR(M52="d",M52="e",N52="d",N52="e"),VLOOKUP("c",'Características dos Cabos'!$D$25:$L$29,9),IF(OR(M52="f",M52="g",M52="h",N52="f",N52="g",N52="h"),VLOOKUP("d",'Características dos Cabos'!$D$25:$L$29,9),IF(OR(M52="i",M52="j",M52="l",M52="m",N52="i",N52="j",N52="l",N52="m"),VLOOKUP("e",'Características dos Cabos'!$D$25:$L$29,9),"")))))</f>
        <v/>
      </c>
      <c r="T52" s="268" t="str">
        <f t="shared" si="7"/>
        <v/>
      </c>
      <c r="U52" s="269" t="str">
        <f>IF(OR(M52="a",N52="a"),VLOOKUP("a",'Características dos Cabos'!$D$25:$L$29,3),IF(OR(M52="b",M52="c",N52="b",N52="c"),VLOOKUP("b",'Características dos Cabos'!$D$25:$L$29,3),IF(OR(M52="d",M52="e",N52="d",N52="e"),VLOOKUP("c",'Características dos Cabos'!$D$25:$L$29,3),IF(OR(M52="f",M52="g",M52="h",N52="f",N52="g",N52="h"),VLOOKUP("d",'Características dos Cabos'!$D$25:$L$29,3),IF(OR(M52="i",M52="j",M52="l",M52="m",N52="i",N52="j",N52="l",N52="m"),VLOOKUP("e",'Características dos Cabos'!$D$25:$L$29,3),"")))))</f>
        <v/>
      </c>
      <c r="V52" s="270" t="str">
        <f t="shared" si="12"/>
        <v/>
      </c>
      <c r="W52" s="243"/>
      <c r="X52" s="257">
        <f t="shared" si="8"/>
        <v>0</v>
      </c>
      <c r="Y52" s="257">
        <f t="shared" si="9"/>
        <v>0</v>
      </c>
      <c r="Z52" s="243"/>
    </row>
    <row r="53" spans="1:26" ht="15" customHeight="1">
      <c r="A53" s="639"/>
      <c r="B53" s="642"/>
      <c r="C53" s="27"/>
      <c r="D53" s="23"/>
      <c r="E53" s="38"/>
      <c r="F53" s="92" t="str">
        <f t="shared" si="5"/>
        <v/>
      </c>
      <c r="G53" s="38"/>
      <c r="H53" s="265" t="str">
        <f>IF(AND(E53="",G53=""),"",SUM(F53:G54))</f>
        <v/>
      </c>
      <c r="J53" s="23"/>
      <c r="K53" s="23"/>
      <c r="L53" s="266" t="str">
        <f>IF(OR(J53="",K53=""),"",IF(J53="3",VLOOKUP(M53,'K% (Rede Convencional)'!$B$18:$M$29,8),(IF(J53="2",VLOOKUP(N53,'K% (Rede Convencional)'!$B$18:$M$29,9),(IF(J53="1",VLOOKUP(N53,'K% (Rede Convencional)'!$B$18:$M$29,10),(IF(J53="13",VLOOKUP(N53,'K% (Rede Convencional)'!$B$18:$M$29,11),(IF(J53="12",VLOOKUP(N53,'K% (Rede Convencional)'!$B$18:$M$29,12),0))))))))))</f>
        <v/>
      </c>
      <c r="M53" s="267" t="str">
        <f t="shared" si="6"/>
        <v/>
      </c>
      <c r="N53" s="267" t="str">
        <f>IF(K53="","",IF(K53="4 (4)","a",IF(OR(K53="2 (4)",K53="2 (2)"),VLOOKUP(K53,BT!$AE$21:$AF$22,2,FALSE),IF(OR(K53="1/0 (4)",K53="1/0 (2)"),VLOOKUP(K53,BT!$AE$24:$AF$25,2,FALSE),IF(OR(K53="4/0 (4)",K53="4/0 (2)",K53="4/0 (1/0)"),VLOOKUP(K53,BT!$AE$27:$AF$29,2,FALSE),IF(OR(K53="336,4 (4)",K53="336,4 (2)",K53="336,4 (1/0)",K53="336,4 (4/0)"),VLOOKUP(K53,BT!$AE$31:$AF$34,2,FALSE),0))))))</f>
        <v/>
      </c>
      <c r="O53" s="38"/>
      <c r="P53" s="268" t="str">
        <f t="shared" si="10"/>
        <v/>
      </c>
      <c r="Q53" s="268" t="str">
        <f>IF(P53="","",SUM($P$45:P53)+$W$45)</f>
        <v/>
      </c>
      <c r="R53" s="268" t="str">
        <f t="shared" si="11"/>
        <v/>
      </c>
      <c r="S53" s="269" t="str">
        <f>IF(OR(M53="a",N53="a"),VLOOKUP("a",'Características dos Cabos'!$D$25:$L$29,9),IF(OR(M53="b",M53="c",N53="b",N53="c"),VLOOKUP("b",'Características dos Cabos'!$D$25:$L$29,9),IF(OR(M53="d",M53="e",N53="d",N53="e"),VLOOKUP("c",'Características dos Cabos'!$D$25:$L$29,9),IF(OR(M53="f",M53="g",M53="h",N53="f",N53="g",N53="h"),VLOOKUP("d",'Características dos Cabos'!$D$25:$L$29,9),IF(OR(M53="i",M53="j",M53="l",M53="m",N53="i",N53="j",N53="l",N53="m"),VLOOKUP("e",'Características dos Cabos'!$D$25:$L$29,9),"")))))</f>
        <v/>
      </c>
      <c r="T53" s="268" t="str">
        <f t="shared" si="7"/>
        <v/>
      </c>
      <c r="U53" s="269" t="str">
        <f>IF(OR(M53="a",N53="a"),VLOOKUP("a",'Características dos Cabos'!$D$25:$L$29,3),IF(OR(M53="b",M53="c",N53="b",N53="c"),VLOOKUP("b",'Características dos Cabos'!$D$25:$L$29,3),IF(OR(M53="d",M53="e",N53="d",N53="e"),VLOOKUP("c",'Características dos Cabos'!$D$25:$L$29,3),IF(OR(M53="f",M53="g",M53="h",N53="f",N53="g",N53="h"),VLOOKUP("d",'Características dos Cabos'!$D$25:$L$29,3),IF(OR(M53="i",M53="j",M53="l",M53="m",N53="i",N53="j",N53="l",N53="m"),VLOOKUP("e",'Características dos Cabos'!$D$25:$L$29,3),"")))))</f>
        <v/>
      </c>
      <c r="V53" s="270" t="str">
        <f t="shared" si="12"/>
        <v/>
      </c>
      <c r="W53" s="243"/>
      <c r="X53" s="257">
        <f t="shared" si="8"/>
        <v>0</v>
      </c>
      <c r="Y53" s="257">
        <f t="shared" si="9"/>
        <v>0</v>
      </c>
      <c r="Z53" s="243"/>
    </row>
    <row r="54" spans="1:26" ht="15" customHeight="1" thickBot="1">
      <c r="A54" s="639"/>
      <c r="B54" s="643"/>
      <c r="C54" s="45"/>
      <c r="D54" s="46"/>
      <c r="E54" s="47"/>
      <c r="F54" s="54" t="str">
        <f t="shared" si="5"/>
        <v/>
      </c>
      <c r="G54" s="47"/>
      <c r="H54" s="271" t="str">
        <f>IF(AND(E54="",G54=""),"",SUM(F54:G54))</f>
        <v/>
      </c>
      <c r="J54" s="46"/>
      <c r="K54" s="46"/>
      <c r="L54" s="272" t="str">
        <f>IF(OR(J54="",K54=""),"",IF(J54="3",VLOOKUP(M54,'K% (Rede Convencional)'!$B$18:$M$29,8),(IF(J54="2",VLOOKUP(N54,'K% (Rede Convencional)'!$B$18:$M$29,9),(IF(J54="1",VLOOKUP(N54,'K% (Rede Convencional)'!$B$18:$M$29,10),(IF(J54="13",VLOOKUP(N54,'K% (Rede Convencional)'!$B$18:$M$29,11),(IF(J54="12",VLOOKUP(N54,'K% (Rede Convencional)'!$B$18:$M$29,12),0))))))))))</f>
        <v/>
      </c>
      <c r="M54" s="273" t="str">
        <f t="shared" si="6"/>
        <v/>
      </c>
      <c r="N54" s="273" t="str">
        <f>IF(K54="","",IF(K54="4 (4)","a",IF(OR(K54="2 (4)",K54="2 (2)"),VLOOKUP(K54,BT!$AE$21:$AF$22,2,FALSE),IF(OR(K54="1/0 (4)",K54="1/0 (2)"),VLOOKUP(K54,BT!$AE$24:$AF$25,2,FALSE),IF(OR(K54="4/0 (4)",K54="4/0 (2)",K54="4/0 (1/0)"),VLOOKUP(K54,BT!$AE$27:$AF$29,2,FALSE),IF(OR(K54="336,4 (4)",K54="336,4 (2)",K54="336,4 (1/0)",K54="336,4 (4/0)"),VLOOKUP(K54,BT!$AE$31:$AF$34,2,FALSE),0))))))</f>
        <v/>
      </c>
      <c r="O54" s="47"/>
      <c r="P54" s="274" t="str">
        <f t="shared" si="10"/>
        <v/>
      </c>
      <c r="Q54" s="274" t="str">
        <f>IF(P54="","",SUM($P$45:P54)+$W$45)</f>
        <v/>
      </c>
      <c r="R54" s="274" t="str">
        <f t="shared" si="11"/>
        <v/>
      </c>
      <c r="S54" s="275" t="str">
        <f>IF(OR(M54="a",N54="a"),VLOOKUP("a",'Características dos Cabos'!$D$25:$L$29,9),IF(OR(M54="b",M54="c",N54="b",N54="c"),VLOOKUP("b",'Características dos Cabos'!$D$25:$L$29,9),IF(OR(M54="d",M54="e",N54="d",N54="e"),VLOOKUP("c",'Características dos Cabos'!$D$25:$L$29,9),IF(OR(M54="f",M54="g",M54="h",N54="f",N54="g",N54="h"),VLOOKUP("d",'Características dos Cabos'!$D$25:$L$29,9),IF(OR(M54="i",M54="j",M54="l",M54="m",N54="i",N54="j",N54="l",N54="m"),VLOOKUP("e",'Características dos Cabos'!$D$25:$L$29,9),"")))))</f>
        <v/>
      </c>
      <c r="T54" s="274" t="str">
        <f t="shared" si="7"/>
        <v/>
      </c>
      <c r="U54" s="275" t="str">
        <f>IF(OR(M54="a",N54="a"),VLOOKUP("a",'Características dos Cabos'!$D$25:$L$29,3),IF(OR(M54="b",M54="c",N54="b",N54="c"),VLOOKUP("b",'Características dos Cabos'!$D$25:$L$29,3),IF(OR(M54="d",M54="e",N54="d",N54="e"),VLOOKUP("c",'Características dos Cabos'!$D$25:$L$29,3),IF(OR(M54="f",M54="g",M54="h",N54="f",N54="g",N54="h"),VLOOKUP("d",'Características dos Cabos'!$D$25:$L$29,3),IF(OR(M54="i",M54="j",M54="l",M54="m",N54="i",N54="j",N54="l",N54="m"),VLOOKUP("e",'Características dos Cabos'!$D$25:$L$29,3),"")))))</f>
        <v/>
      </c>
      <c r="V54" s="276" t="str">
        <f t="shared" si="12"/>
        <v/>
      </c>
      <c r="W54" s="243"/>
      <c r="X54" s="257">
        <f t="shared" si="8"/>
        <v>0</v>
      </c>
      <c r="Y54" s="257">
        <f t="shared" si="9"/>
        <v>0</v>
      </c>
      <c r="Z54" s="243"/>
    </row>
    <row r="55" spans="1:26" ht="15" customHeight="1" thickTop="1">
      <c r="A55" s="639"/>
      <c r="B55" s="641" t="str">
        <f>CONCATENATE("Ramal 2 - Derivando no ponto ",C55)</f>
        <v xml:space="preserve">Ramal 2 - Derivando no ponto </v>
      </c>
      <c r="C55" s="26"/>
      <c r="D55" s="25"/>
      <c r="E55" s="37"/>
      <c r="F55" s="92" t="str">
        <f t="shared" si="5"/>
        <v/>
      </c>
      <c r="G55" s="37"/>
      <c r="H55" s="278" t="str">
        <f>IF(AND(E55="",G55=""),"",SUM(F55:G64))</f>
        <v/>
      </c>
      <c r="J55" s="25"/>
      <c r="K55" s="25"/>
      <c r="L55" s="279" t="str">
        <f>IF(OR(J55="",K55=""),"",IF(J55="3",VLOOKUP(M55,'K% (Rede Convencional)'!$B$18:$M$29,8),(IF(J55="2",VLOOKUP(N55,'K% (Rede Convencional)'!$B$18:$M$29,9),(IF(J55="1",VLOOKUP(N55,'K% (Rede Convencional)'!$B$18:$M$29,10),(IF(J55="13",VLOOKUP(N55,'K% (Rede Convencional)'!$B$18:$M$29,11),(IF(J55="12",VLOOKUP(N55,'K% (Rede Convencional)'!$B$18:$M$29,12),0))))))))))</f>
        <v/>
      </c>
      <c r="M55" s="253" t="str">
        <f t="shared" si="6"/>
        <v/>
      </c>
      <c r="N55" s="253" t="str">
        <f>IF(K55="","",IF(K55="4 (4)","a",IF(OR(K55="2 (4)",K55="2 (2)"),VLOOKUP(K55,BT!$AE$21:$AF$22,2,FALSE),IF(OR(K55="1/0 (4)",K55="1/0 (2)"),VLOOKUP(K55,BT!$AE$24:$AF$25,2,FALSE),IF(OR(K55="4/0 (4)",K55="4/0 (2)",K55="4/0 (1/0)"),VLOOKUP(K55,BT!$AE$27:$AF$29,2,FALSE),IF(OR(K55="336,4 (4)",K55="336,4 (2)",K55="336,4 (1/0)",K55="336,4 (4/0)"),VLOOKUP(K55,BT!$AE$31:$AF$34,2,FALSE),0))))))</f>
        <v/>
      </c>
      <c r="O55" s="37"/>
      <c r="P55" s="280" t="str">
        <f t="shared" si="10"/>
        <v/>
      </c>
      <c r="Q55" s="280" t="str">
        <f>IF(P55="","",P55+VLOOKUP(C55,$D$21:$Q$43,13,FALSE))</f>
        <v/>
      </c>
      <c r="R55" s="280" t="str">
        <f t="shared" si="11"/>
        <v/>
      </c>
      <c r="S55" s="281" t="str">
        <f>IF(OR(M55="a",N55="a"),VLOOKUP("a",'Características dos Cabos'!$D$25:$L$29,9),IF(OR(M55="b",M55="c",N55="b",N55="c"),VLOOKUP("b",'Características dos Cabos'!$D$25:$L$29,9),IF(OR(M55="d",M55="e",N55="d",N55="e"),VLOOKUP("c",'Características dos Cabos'!$D$25:$L$29,9),IF(OR(M55="f",M55="g",M55="h",N55="f",N55="g",N55="h"),VLOOKUP("d",'Características dos Cabos'!$D$25:$L$29,9),IF(OR(M55="i",M55="j",M55="l",M55="m",N55="i",N55="j",N55="l",N55="m"),VLOOKUP("e",'Características dos Cabos'!$D$25:$L$29,9),"")))))</f>
        <v/>
      </c>
      <c r="T55" s="280" t="str">
        <f t="shared" si="7"/>
        <v/>
      </c>
      <c r="U55" s="281" t="str">
        <f>IF(OR(M55="a",N55="a"),VLOOKUP("a",'Características dos Cabos'!$D$25:$L$29,3),IF(OR(M55="b",M55="c",N55="b",N55="c"),VLOOKUP("b",'Características dos Cabos'!$D$25:$L$29,3),IF(OR(M55="d",M55="e",N55="d",N55="e"),VLOOKUP("c",'Características dos Cabos'!$D$25:$L$29,3),IF(OR(M55="f",M55="g",M55="h",N55="f",N55="g",N55="h"),VLOOKUP("d",'Características dos Cabos'!$D$25:$L$29,3),IF(OR(M55="i",M55="j",M55="l",M55="m",N55="i",N55="j",N55="l",N55="m"),VLOOKUP("e",'Características dos Cabos'!$D$25:$L$29,3),"")))))</f>
        <v/>
      </c>
      <c r="V55" s="282" t="str">
        <f t="shared" si="12"/>
        <v/>
      </c>
      <c r="W55" s="445" t="e">
        <f>VLOOKUP(C55,$D$21:$Q$43,13,FALSE)</f>
        <v>#N/A</v>
      </c>
      <c r="X55" s="257">
        <f t="shared" si="8"/>
        <v>0</v>
      </c>
      <c r="Y55" s="257">
        <f t="shared" si="9"/>
        <v>0</v>
      </c>
      <c r="Z55" s="243"/>
    </row>
    <row r="56" spans="1:26" ht="15" customHeight="1">
      <c r="A56" s="639"/>
      <c r="B56" s="642"/>
      <c r="C56" s="27"/>
      <c r="D56" s="23"/>
      <c r="E56" s="38"/>
      <c r="F56" s="92" t="str">
        <f t="shared" si="5"/>
        <v/>
      </c>
      <c r="G56" s="38"/>
      <c r="H56" s="265" t="str">
        <f>IF(AND(E56="",G56=""),"",SUM(F56:G64))</f>
        <v/>
      </c>
      <c r="J56" s="23"/>
      <c r="K56" s="23"/>
      <c r="L56" s="266" t="str">
        <f>IF(OR(J56="",K56=""),"",IF(J56="3",VLOOKUP(M56,'K% (Rede Convencional)'!$B$18:$M$29,8),(IF(J56="2",VLOOKUP(N56,'K% (Rede Convencional)'!$B$18:$M$29,9),(IF(J56="1",VLOOKUP(N56,'K% (Rede Convencional)'!$B$18:$M$29,10),(IF(J56="13",VLOOKUP(N56,'K% (Rede Convencional)'!$B$18:$M$29,11),(IF(J56="12",VLOOKUP(N56,'K% (Rede Convencional)'!$B$18:$M$29,12),0))))))))))</f>
        <v/>
      </c>
      <c r="M56" s="267" t="str">
        <f t="shared" si="6"/>
        <v/>
      </c>
      <c r="N56" s="267" t="str">
        <f>IF(K56="","",IF(K56="4 (4)","a",IF(OR(K56="2 (4)",K56="2 (2)"),VLOOKUP(K56,BT!$AE$21:$AF$22,2,FALSE),IF(OR(K56="1/0 (4)",K56="1/0 (2)"),VLOOKUP(K56,BT!$AE$24:$AF$25,2,FALSE),IF(OR(K56="4/0 (4)",K56="4/0 (2)",K56="4/0 (1/0)"),VLOOKUP(K56,BT!$AE$27:$AF$29,2,FALSE),IF(OR(K56="336,4 (4)",K56="336,4 (2)",K56="336,4 (1/0)",K56="336,4 (4/0)"),VLOOKUP(K56,BT!$AE$31:$AF$34,2,FALSE),0))))))</f>
        <v/>
      </c>
      <c r="O56" s="38"/>
      <c r="P56" s="268" t="str">
        <f t="shared" si="10"/>
        <v/>
      </c>
      <c r="Q56" s="268" t="str">
        <f>IF(P56="","",SUM($P$45:P56)+$W$55)</f>
        <v/>
      </c>
      <c r="R56" s="268" t="str">
        <f t="shared" si="11"/>
        <v/>
      </c>
      <c r="S56" s="269" t="str">
        <f>IF(OR(M56="a",N56="a"),VLOOKUP("a",'Características dos Cabos'!$D$25:$L$29,9),IF(OR(M56="b",M56="c",N56="b",N56="c"),VLOOKUP("b",'Características dos Cabos'!$D$25:$L$29,9),IF(OR(M56="d",M56="e",N56="d",N56="e"),VLOOKUP("c",'Características dos Cabos'!$D$25:$L$29,9),IF(OR(M56="f",M56="g",M56="h",N56="f",N56="g",N56="h"),VLOOKUP("d",'Características dos Cabos'!$D$25:$L$29,9),IF(OR(M56="i",M56="j",M56="l",M56="m",N56="i",N56="j",N56="l",N56="m"),VLOOKUP("e",'Características dos Cabos'!$D$25:$L$29,9),"")))))</f>
        <v/>
      </c>
      <c r="T56" s="268" t="str">
        <f t="shared" si="7"/>
        <v/>
      </c>
      <c r="U56" s="269" t="str">
        <f>IF(OR(M56="a",N56="a"),VLOOKUP("a",'Características dos Cabos'!$D$25:$L$29,3),IF(OR(M56="b",M56="c",N56="b",N56="c"),VLOOKUP("b",'Características dos Cabos'!$D$25:$L$29,3),IF(OR(M56="d",M56="e",N56="d",N56="e"),VLOOKUP("c",'Características dos Cabos'!$D$25:$L$29,3),IF(OR(M56="f",M56="g",M56="h",N56="f",N56="g",N56="h"),VLOOKUP("d",'Características dos Cabos'!$D$25:$L$29,3),IF(OR(M56="i",M56="j",M56="l",M56="m",N56="i",N56="j",N56="l",N56="m"),VLOOKUP("e",'Características dos Cabos'!$D$25:$L$29,3),"")))))</f>
        <v/>
      </c>
      <c r="V56" s="270" t="str">
        <f t="shared" si="12"/>
        <v/>
      </c>
      <c r="W56" s="243"/>
      <c r="X56" s="257">
        <f t="shared" si="8"/>
        <v>0</v>
      </c>
      <c r="Y56" s="257">
        <f t="shared" si="9"/>
        <v>0</v>
      </c>
      <c r="Z56" s="243"/>
    </row>
    <row r="57" spans="1:26" ht="15" customHeight="1">
      <c r="A57" s="639"/>
      <c r="B57" s="642"/>
      <c r="C57" s="27"/>
      <c r="D57" s="23"/>
      <c r="E57" s="38"/>
      <c r="F57" s="92" t="str">
        <f t="shared" si="5"/>
        <v/>
      </c>
      <c r="G57" s="38"/>
      <c r="H57" s="265" t="str">
        <f>IF(AND(E57="",G57=""),"",SUM(F57:G64))</f>
        <v/>
      </c>
      <c r="J57" s="23"/>
      <c r="K57" s="23"/>
      <c r="L57" s="266" t="str">
        <f>IF(OR(J57="",K57=""),"",IF(J57="3",VLOOKUP(M57,'K% (Rede Convencional)'!$B$18:$M$29,8),(IF(J57="2",VLOOKUP(N57,'K% (Rede Convencional)'!$B$18:$M$29,9),(IF(J57="1",VLOOKUP(N57,'K% (Rede Convencional)'!$B$18:$M$29,10),(IF(J57="13",VLOOKUP(N57,'K% (Rede Convencional)'!$B$18:$M$29,11),(IF(J57="12",VLOOKUP(N57,'K% (Rede Convencional)'!$B$18:$M$29,12),0))))))))))</f>
        <v/>
      </c>
      <c r="M57" s="267" t="str">
        <f t="shared" si="6"/>
        <v/>
      </c>
      <c r="N57" s="267" t="str">
        <f>IF(K57="","",IF(K57="4 (4)","a",IF(OR(K57="2 (4)",K57="2 (2)"),VLOOKUP(K57,BT!$AE$21:$AF$22,2,FALSE),IF(OR(K57="1/0 (4)",K57="1/0 (2)"),VLOOKUP(K57,BT!$AE$24:$AF$25,2,FALSE),IF(OR(K57="4/0 (4)",K57="4/0 (2)",K57="4/0 (1/0)"),VLOOKUP(K57,BT!$AE$27:$AF$29,2,FALSE),IF(OR(K57="336,4 (4)",K57="336,4 (2)",K57="336,4 (1/0)",K57="336,4 (4/0)"),VLOOKUP(K57,BT!$AE$31:$AF$34,2,FALSE),0))))))</f>
        <v/>
      </c>
      <c r="O57" s="38"/>
      <c r="P57" s="268" t="str">
        <f t="shared" si="10"/>
        <v/>
      </c>
      <c r="Q57" s="268" t="str">
        <f>IF(P57="","",SUM($P$45:P57)+$W$55)</f>
        <v/>
      </c>
      <c r="R57" s="268" t="str">
        <f t="shared" si="11"/>
        <v/>
      </c>
      <c r="S57" s="269" t="str">
        <f>IF(OR(M57="a",N57="a"),VLOOKUP("a",'Características dos Cabos'!$D$25:$L$29,9),IF(OR(M57="b",M57="c",N57="b",N57="c"),VLOOKUP("b",'Características dos Cabos'!$D$25:$L$29,9),IF(OR(M57="d",M57="e",N57="d",N57="e"),VLOOKUP("c",'Características dos Cabos'!$D$25:$L$29,9),IF(OR(M57="f",M57="g",M57="h",N57="f",N57="g",N57="h"),VLOOKUP("d",'Características dos Cabos'!$D$25:$L$29,9),IF(OR(M57="i",M57="j",M57="l",M57="m",N57="i",N57="j",N57="l",N57="m"),VLOOKUP("e",'Características dos Cabos'!$D$25:$L$29,9),"")))))</f>
        <v/>
      </c>
      <c r="T57" s="268" t="str">
        <f t="shared" si="7"/>
        <v/>
      </c>
      <c r="U57" s="269" t="str">
        <f>IF(OR(M57="a",N57="a"),VLOOKUP("a",'Características dos Cabos'!$D$25:$L$29,3),IF(OR(M57="b",M57="c",N57="b",N57="c"),VLOOKUP("b",'Características dos Cabos'!$D$25:$L$29,3),IF(OR(M57="d",M57="e",N57="d",N57="e"),VLOOKUP("c",'Características dos Cabos'!$D$25:$L$29,3),IF(OR(M57="f",M57="g",M57="h",N57="f",N57="g",N57="h"),VLOOKUP("d",'Características dos Cabos'!$D$25:$L$29,3),IF(OR(M57="i",M57="j",M57="l",M57="m",N57="i",N57="j",N57="l",N57="m"),VLOOKUP("e",'Características dos Cabos'!$D$25:$L$29,3),"")))))</f>
        <v/>
      </c>
      <c r="V57" s="270" t="str">
        <f t="shared" si="12"/>
        <v/>
      </c>
      <c r="W57" s="243"/>
      <c r="X57" s="257">
        <f t="shared" si="8"/>
        <v>0</v>
      </c>
      <c r="Y57" s="257">
        <f t="shared" si="9"/>
        <v>0</v>
      </c>
      <c r="Z57" s="243"/>
    </row>
    <row r="58" spans="1:26" ht="15" customHeight="1">
      <c r="A58" s="639"/>
      <c r="B58" s="642"/>
      <c r="C58" s="27"/>
      <c r="D58" s="23"/>
      <c r="E58" s="38"/>
      <c r="F58" s="92" t="str">
        <f t="shared" si="5"/>
        <v/>
      </c>
      <c r="G58" s="38"/>
      <c r="H58" s="265" t="str">
        <f>IF(AND(E58="",G58=""),"",SUM(F58:G64))</f>
        <v/>
      </c>
      <c r="J58" s="23"/>
      <c r="K58" s="23"/>
      <c r="L58" s="266" t="str">
        <f>IF(OR(J58="",K58=""),"",IF(J58="3",VLOOKUP(M58,'K% (Rede Convencional)'!$B$18:$M$29,8),(IF(J58="2",VLOOKUP(N58,'K% (Rede Convencional)'!$B$18:$M$29,9),(IF(J58="1",VLOOKUP(N58,'K% (Rede Convencional)'!$B$18:$M$29,10),(IF(J58="13",VLOOKUP(N58,'K% (Rede Convencional)'!$B$18:$M$29,11),(IF(J58="12",VLOOKUP(N58,'K% (Rede Convencional)'!$B$18:$M$29,12),0))))))))))</f>
        <v/>
      </c>
      <c r="M58" s="267" t="str">
        <f t="shared" si="6"/>
        <v/>
      </c>
      <c r="N58" s="267" t="str">
        <f>IF(K58="","",IF(K58="4 (4)","a",IF(OR(K58="2 (4)",K58="2 (2)"),VLOOKUP(K58,BT!$AE$21:$AF$22,2,FALSE),IF(OR(K58="1/0 (4)",K58="1/0 (2)"),VLOOKUP(K58,BT!$AE$24:$AF$25,2,FALSE),IF(OR(K58="4/0 (4)",K58="4/0 (2)",K58="4/0 (1/0)"),VLOOKUP(K58,BT!$AE$27:$AF$29,2,FALSE),IF(OR(K58="336,4 (4)",K58="336,4 (2)",K58="336,4 (1/0)",K58="336,4 (4/0)"),VLOOKUP(K58,BT!$AE$31:$AF$34,2,FALSE),0))))))</f>
        <v/>
      </c>
      <c r="O58" s="38"/>
      <c r="P58" s="268" t="str">
        <f t="shared" si="10"/>
        <v/>
      </c>
      <c r="Q58" s="268" t="str">
        <f>IF(P58="","",SUM($P$45:P58)+$W$55)</f>
        <v/>
      </c>
      <c r="R58" s="268" t="str">
        <f t="shared" si="11"/>
        <v/>
      </c>
      <c r="S58" s="269" t="str">
        <f>IF(OR(M58="a",N58="a"),VLOOKUP("a",'Características dos Cabos'!$D$25:$L$29,9),IF(OR(M58="b",M58="c",N58="b",N58="c"),VLOOKUP("b",'Características dos Cabos'!$D$25:$L$29,9),IF(OR(M58="d",M58="e",N58="d",N58="e"),VLOOKUP("c",'Características dos Cabos'!$D$25:$L$29,9),IF(OR(M58="f",M58="g",M58="h",N58="f",N58="g",N58="h"),VLOOKUP("d",'Características dos Cabos'!$D$25:$L$29,9),IF(OR(M58="i",M58="j",M58="l",M58="m",N58="i",N58="j",N58="l",N58="m"),VLOOKUP("e",'Características dos Cabos'!$D$25:$L$29,9),"")))))</f>
        <v/>
      </c>
      <c r="T58" s="268" t="str">
        <f t="shared" si="7"/>
        <v/>
      </c>
      <c r="U58" s="269" t="str">
        <f>IF(OR(M58="a",N58="a"),VLOOKUP("a",'Características dos Cabos'!$D$25:$L$29,3),IF(OR(M58="b",M58="c",N58="b",N58="c"),VLOOKUP("b",'Características dos Cabos'!$D$25:$L$29,3),IF(OR(M58="d",M58="e",N58="d",N58="e"),VLOOKUP("c",'Características dos Cabos'!$D$25:$L$29,3),IF(OR(M58="f",M58="g",M58="h",N58="f",N58="g",N58="h"),VLOOKUP("d",'Características dos Cabos'!$D$25:$L$29,3),IF(OR(M58="i",M58="j",M58="l",M58="m",N58="i",N58="j",N58="l",N58="m"),VLOOKUP("e",'Características dos Cabos'!$D$25:$L$29,3),"")))))</f>
        <v/>
      </c>
      <c r="V58" s="270" t="str">
        <f t="shared" si="12"/>
        <v/>
      </c>
      <c r="W58" s="243"/>
      <c r="X58" s="257">
        <f t="shared" si="8"/>
        <v>0</v>
      </c>
      <c r="Y58" s="257">
        <f t="shared" si="9"/>
        <v>0</v>
      </c>
      <c r="Z58" s="243"/>
    </row>
    <row r="59" spans="1:26" ht="15" customHeight="1">
      <c r="A59" s="639"/>
      <c r="B59" s="642"/>
      <c r="C59" s="27"/>
      <c r="D59" s="23"/>
      <c r="E59" s="38"/>
      <c r="F59" s="92" t="str">
        <f t="shared" si="5"/>
        <v/>
      </c>
      <c r="G59" s="38"/>
      <c r="H59" s="265" t="str">
        <f>IF(AND(E59="",G59=""),"",SUM(F59:G64))</f>
        <v/>
      </c>
      <c r="J59" s="23"/>
      <c r="K59" s="23"/>
      <c r="L59" s="266" t="str">
        <f>IF(OR(J59="",K59=""),"",IF(J59="3",VLOOKUP(M59,'K% (Rede Convencional)'!$B$18:$M$29,8),(IF(J59="2",VLOOKUP(N59,'K% (Rede Convencional)'!$B$18:$M$29,9),(IF(J59="1",VLOOKUP(N59,'K% (Rede Convencional)'!$B$18:$M$29,10),(IF(J59="13",VLOOKUP(N59,'K% (Rede Convencional)'!$B$18:$M$29,11),(IF(J59="12",VLOOKUP(N59,'K% (Rede Convencional)'!$B$18:$M$29,12),0))))))))))</f>
        <v/>
      </c>
      <c r="M59" s="267" t="str">
        <f t="shared" si="6"/>
        <v/>
      </c>
      <c r="N59" s="267" t="str">
        <f>IF(K59="","",IF(K59="4 (4)","a",IF(OR(K59="2 (4)",K59="2 (2)"),VLOOKUP(K59,BT!$AE$21:$AF$22,2,FALSE),IF(OR(K59="1/0 (4)",K59="1/0 (2)"),VLOOKUP(K59,BT!$AE$24:$AF$25,2,FALSE),IF(OR(K59="4/0 (4)",K59="4/0 (2)",K59="4/0 (1/0)"),VLOOKUP(K59,BT!$AE$27:$AF$29,2,FALSE),IF(OR(K59="336,4 (4)",K59="336,4 (2)",K59="336,4 (1/0)",K59="336,4 (4/0)"),VLOOKUP(K59,BT!$AE$31:$AF$34,2,FALSE),0))))))</f>
        <v/>
      </c>
      <c r="O59" s="38"/>
      <c r="P59" s="268" t="str">
        <f t="shared" si="10"/>
        <v/>
      </c>
      <c r="Q59" s="268" t="str">
        <f>IF(P59="","",SUM($P$45:P59)+$W$55)</f>
        <v/>
      </c>
      <c r="R59" s="268" t="str">
        <f t="shared" si="11"/>
        <v/>
      </c>
      <c r="S59" s="269" t="str">
        <f>IF(OR(M59="a",N59="a"),VLOOKUP("a",'Características dos Cabos'!$D$25:$L$29,9),IF(OR(M59="b",M59="c",N59="b",N59="c"),VLOOKUP("b",'Características dos Cabos'!$D$25:$L$29,9),IF(OR(M59="d",M59="e",N59="d",N59="e"),VLOOKUP("c",'Características dos Cabos'!$D$25:$L$29,9),IF(OR(M59="f",M59="g",M59="h",N59="f",N59="g",N59="h"),VLOOKUP("d",'Características dos Cabos'!$D$25:$L$29,9),IF(OR(M59="i",M59="j",M59="l",M59="m",N59="i",N59="j",N59="l",N59="m"),VLOOKUP("e",'Características dos Cabos'!$D$25:$L$29,9),"")))))</f>
        <v/>
      </c>
      <c r="T59" s="268" t="str">
        <f t="shared" si="7"/>
        <v/>
      </c>
      <c r="U59" s="269" t="str">
        <f>IF(OR(M59="a",N59="a"),VLOOKUP("a",'Características dos Cabos'!$D$25:$L$29,3),IF(OR(M59="b",M59="c",N59="b",N59="c"),VLOOKUP("b",'Características dos Cabos'!$D$25:$L$29,3),IF(OR(M59="d",M59="e",N59="d",N59="e"),VLOOKUP("c",'Características dos Cabos'!$D$25:$L$29,3),IF(OR(M59="f",M59="g",M59="h",N59="f",N59="g",N59="h"),VLOOKUP("d",'Características dos Cabos'!$D$25:$L$29,3),IF(OR(M59="i",M59="j",M59="l",M59="m",N59="i",N59="j",N59="l",N59="m"),VLOOKUP("e",'Características dos Cabos'!$D$25:$L$29,3),"")))))</f>
        <v/>
      </c>
      <c r="V59" s="270" t="str">
        <f t="shared" si="12"/>
        <v/>
      </c>
      <c r="W59" s="243"/>
      <c r="X59" s="257">
        <f t="shared" si="8"/>
        <v>0</v>
      </c>
      <c r="Y59" s="257">
        <f t="shared" si="9"/>
        <v>0</v>
      </c>
      <c r="Z59" s="243"/>
    </row>
    <row r="60" spans="1:26" ht="15" customHeight="1">
      <c r="A60" s="639"/>
      <c r="B60" s="642"/>
      <c r="C60" s="27"/>
      <c r="D60" s="23"/>
      <c r="E60" s="38"/>
      <c r="F60" s="92" t="str">
        <f t="shared" si="5"/>
        <v/>
      </c>
      <c r="G60" s="38"/>
      <c r="H60" s="265" t="str">
        <f>IF(AND(E60="",G60=""),"",SUM(F60:G64))</f>
        <v/>
      </c>
      <c r="J60" s="23"/>
      <c r="K60" s="23"/>
      <c r="L60" s="266" t="str">
        <f>IF(OR(J60="",K60=""),"",IF(J60="3",VLOOKUP(M60,'K% (Rede Convencional)'!$B$18:$M$29,8),(IF(J60="2",VLOOKUP(N60,'K% (Rede Convencional)'!$B$18:$M$29,9),(IF(J60="1",VLOOKUP(N60,'K% (Rede Convencional)'!$B$18:$M$29,10),(IF(J60="13",VLOOKUP(N60,'K% (Rede Convencional)'!$B$18:$M$29,11),(IF(J60="12",VLOOKUP(N60,'K% (Rede Convencional)'!$B$18:$M$29,12),0))))))))))</f>
        <v/>
      </c>
      <c r="M60" s="267" t="str">
        <f t="shared" si="6"/>
        <v/>
      </c>
      <c r="N60" s="267" t="str">
        <f>IF(K60="","",IF(K60="4 (4)","a",IF(OR(K60="2 (4)",K60="2 (2)"),VLOOKUP(K60,BT!$AE$21:$AF$22,2,FALSE),IF(OR(K60="1/0 (4)",K60="1/0 (2)"),VLOOKUP(K60,BT!$AE$24:$AF$25,2,FALSE),IF(OR(K60="4/0 (4)",K60="4/0 (2)",K60="4/0 (1/0)"),VLOOKUP(K60,BT!$AE$27:$AF$29,2,FALSE),IF(OR(K60="336,4 (4)",K60="336,4 (2)",K60="336,4 (1/0)",K60="336,4 (4/0)"),VLOOKUP(K60,BT!$AE$31:$AF$34,2,FALSE),0))))))</f>
        <v/>
      </c>
      <c r="O60" s="38"/>
      <c r="P60" s="268" t="str">
        <f t="shared" si="10"/>
        <v/>
      </c>
      <c r="Q60" s="268" t="str">
        <f>IF(P60="","",SUM($P$45:P60)+$W$55)</f>
        <v/>
      </c>
      <c r="R60" s="268" t="str">
        <f t="shared" si="11"/>
        <v/>
      </c>
      <c r="S60" s="269" t="str">
        <f>IF(OR(M60="a",N60="a"),VLOOKUP("a",'Características dos Cabos'!$D$25:$L$29,9),IF(OR(M60="b",M60="c",N60="b",N60="c"),VLOOKUP("b",'Características dos Cabos'!$D$25:$L$29,9),IF(OR(M60="d",M60="e",N60="d",N60="e"),VLOOKUP("c",'Características dos Cabos'!$D$25:$L$29,9),IF(OR(M60="f",M60="g",M60="h",N60="f",N60="g",N60="h"),VLOOKUP("d",'Características dos Cabos'!$D$25:$L$29,9),IF(OR(M60="i",M60="j",M60="l",M60="m",N60="i",N60="j",N60="l",N60="m"),VLOOKUP("e",'Características dos Cabos'!$D$25:$L$29,9),"")))))</f>
        <v/>
      </c>
      <c r="T60" s="268" t="str">
        <f t="shared" si="7"/>
        <v/>
      </c>
      <c r="U60" s="269" t="str">
        <f>IF(OR(M60="a",N60="a"),VLOOKUP("a",'Características dos Cabos'!$D$25:$L$29,3),IF(OR(M60="b",M60="c",N60="b",N60="c"),VLOOKUP("b",'Características dos Cabos'!$D$25:$L$29,3),IF(OR(M60="d",M60="e",N60="d",N60="e"),VLOOKUP("c",'Características dos Cabos'!$D$25:$L$29,3),IF(OR(M60="f",M60="g",M60="h",N60="f",N60="g",N60="h"),VLOOKUP("d",'Características dos Cabos'!$D$25:$L$29,3),IF(OR(M60="i",M60="j",M60="l",M60="m",N60="i",N60="j",N60="l",N60="m"),VLOOKUP("e",'Características dos Cabos'!$D$25:$L$29,3),"")))))</f>
        <v/>
      </c>
      <c r="V60" s="270" t="str">
        <f t="shared" si="12"/>
        <v/>
      </c>
      <c r="W60" s="243"/>
      <c r="X60" s="257">
        <f t="shared" si="8"/>
        <v>0</v>
      </c>
      <c r="Y60" s="257">
        <f t="shared" si="9"/>
        <v>0</v>
      </c>
      <c r="Z60" s="243"/>
    </row>
    <row r="61" spans="1:26" ht="15" customHeight="1">
      <c r="A61" s="639"/>
      <c r="B61" s="642"/>
      <c r="C61" s="27"/>
      <c r="D61" s="23"/>
      <c r="E61" s="38"/>
      <c r="F61" s="92" t="str">
        <f t="shared" si="5"/>
        <v/>
      </c>
      <c r="G61" s="38"/>
      <c r="H61" s="265" t="str">
        <f>IF(AND(E61="",G61=""),"",SUM(F61:G64))</f>
        <v/>
      </c>
      <c r="J61" s="23"/>
      <c r="K61" s="23"/>
      <c r="L61" s="266" t="str">
        <f>IF(OR(J61="",K61=""),"",IF(J61="3",VLOOKUP(M61,'K% (Rede Convencional)'!$B$18:$M$29,8),(IF(J61="2",VLOOKUP(N61,'K% (Rede Convencional)'!$B$18:$M$29,9),(IF(J61="1",VLOOKUP(N61,'K% (Rede Convencional)'!$B$18:$M$29,10),(IF(J61="13",VLOOKUP(N61,'K% (Rede Convencional)'!$B$18:$M$29,11),(IF(J61="12",VLOOKUP(N61,'K% (Rede Convencional)'!$B$18:$M$29,12),0))))))))))</f>
        <v/>
      </c>
      <c r="M61" s="267" t="str">
        <f t="shared" si="6"/>
        <v/>
      </c>
      <c r="N61" s="267" t="str">
        <f>IF(K61="","",IF(K61="4 (4)","a",IF(OR(K61="2 (4)",K61="2 (2)"),VLOOKUP(K61,BT!$AE$21:$AF$22,2,FALSE),IF(OR(K61="1/0 (4)",K61="1/0 (2)"),VLOOKUP(K61,BT!$AE$24:$AF$25,2,FALSE),IF(OR(K61="4/0 (4)",K61="4/0 (2)",K61="4/0 (1/0)"),VLOOKUP(K61,BT!$AE$27:$AF$29,2,FALSE),IF(OR(K61="336,4 (4)",K61="336,4 (2)",K61="336,4 (1/0)",K61="336,4 (4/0)"),VLOOKUP(K61,BT!$AE$31:$AF$34,2,FALSE),0))))))</f>
        <v/>
      </c>
      <c r="O61" s="38"/>
      <c r="P61" s="268" t="str">
        <f t="shared" si="10"/>
        <v/>
      </c>
      <c r="Q61" s="268" t="str">
        <f>IF(P61="","",SUM($P$45:P61)+$W$55)</f>
        <v/>
      </c>
      <c r="R61" s="268" t="str">
        <f t="shared" si="11"/>
        <v/>
      </c>
      <c r="S61" s="269" t="str">
        <f>IF(OR(M61="a",N61="a"),VLOOKUP("a",'Características dos Cabos'!$D$25:$L$29,9),IF(OR(M61="b",M61="c",N61="b",N61="c"),VLOOKUP("b",'Características dos Cabos'!$D$25:$L$29,9),IF(OR(M61="d",M61="e",N61="d",N61="e"),VLOOKUP("c",'Características dos Cabos'!$D$25:$L$29,9),IF(OR(M61="f",M61="g",M61="h",N61="f",N61="g",N61="h"),VLOOKUP("d",'Características dos Cabos'!$D$25:$L$29,9),IF(OR(M61="i",M61="j",M61="l",M61="m",N61="i",N61="j",N61="l",N61="m"),VLOOKUP("e",'Características dos Cabos'!$D$25:$L$29,9),"")))))</f>
        <v/>
      </c>
      <c r="T61" s="268" t="str">
        <f t="shared" si="7"/>
        <v/>
      </c>
      <c r="U61" s="269" t="str">
        <f>IF(OR(M61="a",N61="a"),VLOOKUP("a",'Características dos Cabos'!$D$25:$L$29,3),IF(OR(M61="b",M61="c",N61="b",N61="c"),VLOOKUP("b",'Características dos Cabos'!$D$25:$L$29,3),IF(OR(M61="d",M61="e",N61="d",N61="e"),VLOOKUP("c",'Características dos Cabos'!$D$25:$L$29,3),IF(OR(M61="f",M61="g",M61="h",N61="f",N61="g",N61="h"),VLOOKUP("d",'Características dos Cabos'!$D$25:$L$29,3),IF(OR(M61="i",M61="j",M61="l",M61="m",N61="i",N61="j",N61="l",N61="m"),VLOOKUP("e",'Características dos Cabos'!$D$25:$L$29,3),"")))))</f>
        <v/>
      </c>
      <c r="V61" s="270" t="str">
        <f t="shared" si="12"/>
        <v/>
      </c>
      <c r="W61" s="243"/>
      <c r="X61" s="257">
        <f t="shared" si="8"/>
        <v>0</v>
      </c>
      <c r="Y61" s="257">
        <f t="shared" si="9"/>
        <v>0</v>
      </c>
      <c r="Z61" s="243"/>
    </row>
    <row r="62" spans="1:26" ht="15" customHeight="1">
      <c r="A62" s="639"/>
      <c r="B62" s="642"/>
      <c r="C62" s="27"/>
      <c r="D62" s="23"/>
      <c r="E62" s="38"/>
      <c r="F62" s="92" t="str">
        <f t="shared" si="5"/>
        <v/>
      </c>
      <c r="G62" s="38"/>
      <c r="H62" s="265" t="str">
        <f>IF(AND(E62="",G62=""),"",SUM(F62:G64))</f>
        <v/>
      </c>
      <c r="J62" s="23"/>
      <c r="K62" s="23"/>
      <c r="L62" s="266" t="str">
        <f>IF(OR(J62="",K62=""),"",IF(J62="3",VLOOKUP(M62,'K% (Rede Convencional)'!$B$18:$M$29,8),(IF(J62="2",VLOOKUP(N62,'K% (Rede Convencional)'!$B$18:$M$29,9),(IF(J62="1",VLOOKUP(N62,'K% (Rede Convencional)'!$B$18:$M$29,10),(IF(J62="13",VLOOKUP(N62,'K% (Rede Convencional)'!$B$18:$M$29,11),(IF(J62="12",VLOOKUP(N62,'K% (Rede Convencional)'!$B$18:$M$29,12),0))))))))))</f>
        <v/>
      </c>
      <c r="M62" s="267" t="str">
        <f t="shared" si="6"/>
        <v/>
      </c>
      <c r="N62" s="267" t="str">
        <f>IF(K62="","",IF(K62="4 (4)","a",IF(OR(K62="2 (4)",K62="2 (2)"),VLOOKUP(K62,BT!$AE$21:$AF$22,2,FALSE),IF(OR(K62="1/0 (4)",K62="1/0 (2)"),VLOOKUP(K62,BT!$AE$24:$AF$25,2,FALSE),IF(OR(K62="4/0 (4)",K62="4/0 (2)",K62="4/0 (1/0)"),VLOOKUP(K62,BT!$AE$27:$AF$29,2,FALSE),IF(OR(K62="336,4 (4)",K62="336,4 (2)",K62="336,4 (1/0)",K62="336,4 (4/0)"),VLOOKUP(K62,BT!$AE$31:$AF$34,2,FALSE),0))))))</f>
        <v/>
      </c>
      <c r="O62" s="38"/>
      <c r="P62" s="268" t="str">
        <f t="shared" si="10"/>
        <v/>
      </c>
      <c r="Q62" s="268" t="str">
        <f>IF(P62="","",SUM($P$45:P62)+$W$55)</f>
        <v/>
      </c>
      <c r="R62" s="268" t="str">
        <f t="shared" si="11"/>
        <v/>
      </c>
      <c r="S62" s="269" t="str">
        <f>IF(OR(M62="a",N62="a"),VLOOKUP("a",'Características dos Cabos'!$D$25:$L$29,9),IF(OR(M62="b",M62="c",N62="b",N62="c"),VLOOKUP("b",'Características dos Cabos'!$D$25:$L$29,9),IF(OR(M62="d",M62="e",N62="d",N62="e"),VLOOKUP("c",'Características dos Cabos'!$D$25:$L$29,9),IF(OR(M62="f",M62="g",M62="h",N62="f",N62="g",N62="h"),VLOOKUP("d",'Características dos Cabos'!$D$25:$L$29,9),IF(OR(M62="i",M62="j",M62="l",M62="m",N62="i",N62="j",N62="l",N62="m"),VLOOKUP("e",'Características dos Cabos'!$D$25:$L$29,9),"")))))</f>
        <v/>
      </c>
      <c r="T62" s="268" t="str">
        <f t="shared" si="7"/>
        <v/>
      </c>
      <c r="U62" s="269" t="str">
        <f>IF(OR(M62="a",N62="a"),VLOOKUP("a",'Características dos Cabos'!$D$25:$L$29,3),IF(OR(M62="b",M62="c",N62="b",N62="c"),VLOOKUP("b",'Características dos Cabos'!$D$25:$L$29,3),IF(OR(M62="d",M62="e",N62="d",N62="e"),VLOOKUP("c",'Características dos Cabos'!$D$25:$L$29,3),IF(OR(M62="f",M62="g",M62="h",N62="f",N62="g",N62="h"),VLOOKUP("d",'Características dos Cabos'!$D$25:$L$29,3),IF(OR(M62="i",M62="j",M62="l",M62="m",N62="i",N62="j",N62="l",N62="m"),VLOOKUP("e",'Características dos Cabos'!$D$25:$L$29,3),"")))))</f>
        <v/>
      </c>
      <c r="V62" s="270" t="str">
        <f t="shared" si="12"/>
        <v/>
      </c>
      <c r="W62" s="243"/>
      <c r="X62" s="257">
        <f t="shared" si="8"/>
        <v>0</v>
      </c>
      <c r="Y62" s="257">
        <f t="shared" si="9"/>
        <v>0</v>
      </c>
      <c r="Z62" s="243"/>
    </row>
    <row r="63" spans="1:26" ht="15" customHeight="1">
      <c r="A63" s="639"/>
      <c r="B63" s="642"/>
      <c r="C63" s="27"/>
      <c r="D63" s="23"/>
      <c r="E63" s="38"/>
      <c r="F63" s="92" t="str">
        <f t="shared" si="5"/>
        <v/>
      </c>
      <c r="G63" s="38"/>
      <c r="H63" s="265" t="str">
        <f>IF(AND(E63="",G63=""),"",SUM(F63:G64))</f>
        <v/>
      </c>
      <c r="J63" s="23"/>
      <c r="K63" s="23"/>
      <c r="L63" s="266" t="str">
        <f>IF(OR(J63="",K63=""),"",IF(J63="3",VLOOKUP(M63,'K% (Rede Convencional)'!$B$18:$M$29,8),(IF(J63="2",VLOOKUP(N63,'K% (Rede Convencional)'!$B$18:$M$29,9),(IF(J63="1",VLOOKUP(N63,'K% (Rede Convencional)'!$B$18:$M$29,10),(IF(J63="13",VLOOKUP(N63,'K% (Rede Convencional)'!$B$18:$M$29,11),(IF(J63="12",VLOOKUP(N63,'K% (Rede Convencional)'!$B$18:$M$29,12),0))))))))))</f>
        <v/>
      </c>
      <c r="M63" s="267" t="str">
        <f t="shared" si="6"/>
        <v/>
      </c>
      <c r="N63" s="267" t="str">
        <f>IF(K63="","",IF(K63="4 (4)","a",IF(OR(K63="2 (4)",K63="2 (2)"),VLOOKUP(K63,BT!$AE$21:$AF$22,2,FALSE),IF(OR(K63="1/0 (4)",K63="1/0 (2)"),VLOOKUP(K63,BT!$AE$24:$AF$25,2,FALSE),IF(OR(K63="4/0 (4)",K63="4/0 (2)",K63="4/0 (1/0)"),VLOOKUP(K63,BT!$AE$27:$AF$29,2,FALSE),IF(OR(K63="336,4 (4)",K63="336,4 (2)",K63="336,4 (1/0)",K63="336,4 (4/0)"),VLOOKUP(K63,BT!$AE$31:$AF$34,2,FALSE),0))))))</f>
        <v/>
      </c>
      <c r="O63" s="38"/>
      <c r="P63" s="268" t="str">
        <f t="shared" si="10"/>
        <v/>
      </c>
      <c r="Q63" s="268" t="str">
        <f>IF(P63="","",SUM($P$45:P63)+$W$55)</f>
        <v/>
      </c>
      <c r="R63" s="268" t="str">
        <f t="shared" si="11"/>
        <v/>
      </c>
      <c r="S63" s="269" t="str">
        <f>IF(OR(M63="a",N63="a"),VLOOKUP("a",'Características dos Cabos'!$D$25:$L$29,9),IF(OR(M63="b",M63="c",N63="b",N63="c"),VLOOKUP("b",'Características dos Cabos'!$D$25:$L$29,9),IF(OR(M63="d",M63="e",N63="d",N63="e"),VLOOKUP("c",'Características dos Cabos'!$D$25:$L$29,9),IF(OR(M63="f",M63="g",M63="h",N63="f",N63="g",N63="h"),VLOOKUP("d",'Características dos Cabos'!$D$25:$L$29,9),IF(OR(M63="i",M63="j",M63="l",M63="m",N63="i",N63="j",N63="l",N63="m"),VLOOKUP("e",'Características dos Cabos'!$D$25:$L$29,9),"")))))</f>
        <v/>
      </c>
      <c r="T63" s="268" t="str">
        <f t="shared" si="7"/>
        <v/>
      </c>
      <c r="U63" s="269" t="str">
        <f>IF(OR(M63="a",N63="a"),VLOOKUP("a",'Características dos Cabos'!$D$25:$L$29,3),IF(OR(M63="b",M63="c",N63="b",N63="c"),VLOOKUP("b",'Características dos Cabos'!$D$25:$L$29,3),IF(OR(M63="d",M63="e",N63="d",N63="e"),VLOOKUP("c",'Características dos Cabos'!$D$25:$L$29,3),IF(OR(M63="f",M63="g",M63="h",N63="f",N63="g",N63="h"),VLOOKUP("d",'Características dos Cabos'!$D$25:$L$29,3),IF(OR(M63="i",M63="j",M63="l",M63="m",N63="i",N63="j",N63="l",N63="m"),VLOOKUP("e",'Características dos Cabos'!$D$25:$L$29,3),"")))))</f>
        <v/>
      </c>
      <c r="V63" s="270" t="str">
        <f t="shared" si="12"/>
        <v/>
      </c>
      <c r="W63" s="243"/>
      <c r="X63" s="257">
        <f t="shared" si="8"/>
        <v>0</v>
      </c>
      <c r="Y63" s="257">
        <f t="shared" si="9"/>
        <v>0</v>
      </c>
      <c r="Z63" s="243"/>
    </row>
    <row r="64" spans="1:26" ht="15" customHeight="1" thickBot="1">
      <c r="A64" s="639"/>
      <c r="B64" s="643"/>
      <c r="C64" s="45"/>
      <c r="D64" s="46"/>
      <c r="E64" s="47"/>
      <c r="F64" s="54" t="str">
        <f t="shared" si="5"/>
        <v/>
      </c>
      <c r="G64" s="47"/>
      <c r="H64" s="271" t="str">
        <f>IF(AND(E64="",G64=""),"",SUM(F64:G64))</f>
        <v/>
      </c>
      <c r="J64" s="46"/>
      <c r="K64" s="46"/>
      <c r="L64" s="272" t="str">
        <f>IF(OR(J64="",K64=""),"",IF(J64="3",VLOOKUP(M64,'K% (Rede Convencional)'!$B$18:$M$29,8),(IF(J64="2",VLOOKUP(N64,'K% (Rede Convencional)'!$B$18:$M$29,9),(IF(J64="1",VLOOKUP(N64,'K% (Rede Convencional)'!$B$18:$M$29,10),(IF(J64="13",VLOOKUP(N64,'K% (Rede Convencional)'!$B$18:$M$29,11),(IF(J64="12",VLOOKUP(N64,'K% (Rede Convencional)'!$B$18:$M$29,12),0))))))))))</f>
        <v/>
      </c>
      <c r="M64" s="273" t="str">
        <f t="shared" si="6"/>
        <v/>
      </c>
      <c r="N64" s="273" t="str">
        <f>IF(K64="","",IF(K64="4 (4)","a",IF(OR(K64="2 (4)",K64="2 (2)"),VLOOKUP(K64,BT!$AE$21:$AF$22,2,FALSE),IF(OR(K64="1/0 (4)",K64="1/0 (2)"),VLOOKUP(K64,BT!$AE$24:$AF$25,2,FALSE),IF(OR(K64="4/0 (4)",K64="4/0 (2)",K64="4/0 (1/0)"),VLOOKUP(K64,BT!$AE$27:$AF$29,2,FALSE),IF(OR(K64="336,4 (4)",K64="336,4 (2)",K64="336,4 (1/0)",K64="336,4 (4/0)"),VLOOKUP(K64,BT!$AE$31:$AF$34,2,FALSE),0))))))</f>
        <v/>
      </c>
      <c r="O64" s="47"/>
      <c r="P64" s="274" t="str">
        <f t="shared" si="10"/>
        <v/>
      </c>
      <c r="Q64" s="274" t="str">
        <f>IF(P64="","",SUM($P$45:P64)+$W$55)</f>
        <v/>
      </c>
      <c r="R64" s="274" t="str">
        <f t="shared" si="11"/>
        <v/>
      </c>
      <c r="S64" s="275" t="str">
        <f>IF(OR(M64="a",N64="a"),VLOOKUP("a",'Características dos Cabos'!$D$25:$L$29,9),IF(OR(M64="b",M64="c",N64="b",N64="c"),VLOOKUP("b",'Características dos Cabos'!$D$25:$L$29,9),IF(OR(M64="d",M64="e",N64="d",N64="e"),VLOOKUP("c",'Características dos Cabos'!$D$25:$L$29,9),IF(OR(M64="f",M64="g",M64="h",N64="f",N64="g",N64="h"),VLOOKUP("d",'Características dos Cabos'!$D$25:$L$29,9),IF(OR(M64="i",M64="j",M64="l",M64="m",N64="i",N64="j",N64="l",N64="m"),VLOOKUP("e",'Características dos Cabos'!$D$25:$L$29,9),"")))))</f>
        <v/>
      </c>
      <c r="T64" s="274" t="str">
        <f t="shared" si="7"/>
        <v/>
      </c>
      <c r="U64" s="275" t="str">
        <f>IF(OR(M64="a",N64="a"),VLOOKUP("a",'Características dos Cabos'!$D$25:$L$29,3),IF(OR(M64="b",M64="c",N64="b",N64="c"),VLOOKUP("b",'Características dos Cabos'!$D$25:$L$29,3),IF(OR(M64="d",M64="e",N64="d",N64="e"),VLOOKUP("c",'Características dos Cabos'!$D$25:$L$29,3),IF(OR(M64="f",M64="g",M64="h",N64="f",N64="g",N64="h"),VLOOKUP("d",'Características dos Cabos'!$D$25:$L$29,3),IF(OR(M64="i",M64="j",M64="l",M64="m",N64="i",N64="j",N64="l",N64="m"),VLOOKUP("e",'Características dos Cabos'!$D$25:$L$29,3),"")))))</f>
        <v/>
      </c>
      <c r="V64" s="276" t="str">
        <f t="shared" si="12"/>
        <v/>
      </c>
      <c r="W64" s="243"/>
      <c r="X64" s="257">
        <f t="shared" si="8"/>
        <v>0</v>
      </c>
      <c r="Y64" s="257">
        <f t="shared" si="9"/>
        <v>0</v>
      </c>
      <c r="Z64" s="243"/>
    </row>
    <row r="65" spans="1:26" ht="15" customHeight="1" thickTop="1">
      <c r="A65" s="639"/>
      <c r="B65" s="641" t="str">
        <f>CONCATENATE("Ramal 3 - Derivando no ponto ",C65)</f>
        <v xml:space="preserve">Ramal 3 - Derivando no ponto </v>
      </c>
      <c r="C65" s="26"/>
      <c r="D65" s="25"/>
      <c r="E65" s="37"/>
      <c r="F65" s="92" t="str">
        <f t="shared" si="5"/>
        <v/>
      </c>
      <c r="G65" s="37"/>
      <c r="H65" s="278" t="str">
        <f>IF(AND(E65="",G65=""),"",SUM(F65:G74))</f>
        <v/>
      </c>
      <c r="J65" s="25"/>
      <c r="K65" s="25"/>
      <c r="L65" s="279" t="str">
        <f>IF(OR(J65="",K65=""),"",IF(J65="3",VLOOKUP(M65,'K% (Rede Convencional)'!$B$18:$M$29,8),(IF(J65="2",VLOOKUP(N65,'K% (Rede Convencional)'!$B$18:$M$29,9),(IF(J65="1",VLOOKUP(N65,'K% (Rede Convencional)'!$B$18:$M$29,10),(IF(J65="13",VLOOKUP(N65,'K% (Rede Convencional)'!$B$18:$M$29,11),(IF(J65="12",VLOOKUP(N65,'K% (Rede Convencional)'!$B$18:$M$29,12),0))))))))))</f>
        <v/>
      </c>
      <c r="M65" s="253" t="str">
        <f t="shared" si="6"/>
        <v/>
      </c>
      <c r="N65" s="253" t="str">
        <f>IF(K65="","",IF(K65="4 (4)","a",IF(OR(K65="2 (4)",K65="2 (2)"),VLOOKUP(K65,BT!$AE$21:$AF$22,2,FALSE),IF(OR(K65="1/0 (4)",K65="1/0 (2)"),VLOOKUP(K65,BT!$AE$24:$AF$25,2,FALSE),IF(OR(K65="4/0 (4)",K65="4/0 (2)",K65="4/0 (1/0)"),VLOOKUP(K65,BT!$AE$27:$AF$29,2,FALSE),IF(OR(K65="336,4 (4)",K65="336,4 (2)",K65="336,4 (1/0)",K65="336,4 (4/0)"),VLOOKUP(K65,BT!$AE$31:$AF$34,2,FALSE),0))))))</f>
        <v/>
      </c>
      <c r="O65" s="37"/>
      <c r="P65" s="280" t="str">
        <f t="shared" si="10"/>
        <v/>
      </c>
      <c r="Q65" s="280" t="str">
        <f>IF(P65="","",P65+VLOOKUP(C65,$D$21:$Q$43,13,FALSE))</f>
        <v/>
      </c>
      <c r="R65" s="280" t="str">
        <f t="shared" si="11"/>
        <v/>
      </c>
      <c r="S65" s="281" t="str">
        <f>IF(OR(M65="a",N65="a"),VLOOKUP("a",'Características dos Cabos'!$D$25:$L$29,9),IF(OR(M65="b",M65="c",N65="b",N65="c"),VLOOKUP("b",'Características dos Cabos'!$D$25:$L$29,9),IF(OR(M65="d",M65="e",N65="d",N65="e"),VLOOKUP("c",'Características dos Cabos'!$D$25:$L$29,9),IF(OR(M65="f",M65="g",M65="h",N65="f",N65="g",N65="h"),VLOOKUP("d",'Características dos Cabos'!$D$25:$L$29,9),IF(OR(M65="i",M65="j",M65="l",M65="m",N65="i",N65="j",N65="l",N65="m"),VLOOKUP("e",'Características dos Cabos'!$D$25:$L$29,9),"")))))</f>
        <v/>
      </c>
      <c r="T65" s="280" t="str">
        <f t="shared" si="7"/>
        <v/>
      </c>
      <c r="U65" s="281" t="str">
        <f>IF(OR(M65="a",N65="a"),VLOOKUP("a",'Características dos Cabos'!$D$25:$L$29,3),IF(OR(M65="b",M65="c",N65="b",N65="c"),VLOOKUP("b",'Características dos Cabos'!$D$25:$L$29,3),IF(OR(M65="d",M65="e",N65="d",N65="e"),VLOOKUP("c",'Características dos Cabos'!$D$25:$L$29,3),IF(OR(M65="f",M65="g",M65="h",N65="f",N65="g",N65="h"),VLOOKUP("d",'Características dos Cabos'!$D$25:$L$29,3),IF(OR(M65="i",M65="j",M65="l",M65="m",N65="i",N65="j",N65="l",N65="m"),VLOOKUP("e",'Características dos Cabos'!$D$25:$L$29,3),"")))))</f>
        <v/>
      </c>
      <c r="V65" s="282" t="str">
        <f t="shared" si="12"/>
        <v/>
      </c>
      <c r="W65" s="445" t="e">
        <f>VLOOKUP(C65,$D$21:$Q$43,13,FALSE)</f>
        <v>#N/A</v>
      </c>
      <c r="X65" s="257">
        <f t="shared" si="8"/>
        <v>0</v>
      </c>
      <c r="Y65" s="257">
        <f t="shared" si="9"/>
        <v>0</v>
      </c>
      <c r="Z65" s="243"/>
    </row>
    <row r="66" spans="1:26" ht="15" customHeight="1">
      <c r="A66" s="639"/>
      <c r="B66" s="642"/>
      <c r="C66" s="27"/>
      <c r="D66" s="23"/>
      <c r="E66" s="38"/>
      <c r="F66" s="92" t="str">
        <f t="shared" si="5"/>
        <v/>
      </c>
      <c r="G66" s="38"/>
      <c r="H66" s="265" t="str">
        <f>IF(AND(E66="",G66=""),"",SUM(F66:G74))</f>
        <v/>
      </c>
      <c r="J66" s="23"/>
      <c r="K66" s="23"/>
      <c r="L66" s="266" t="str">
        <f>IF(OR(J66="",K66=""),"",IF(J66="3",VLOOKUP(M66,'K% (Rede Convencional)'!$B$18:$M$29,8),(IF(J66="2",VLOOKUP(N66,'K% (Rede Convencional)'!$B$18:$M$29,9),(IF(J66="1",VLOOKUP(N66,'K% (Rede Convencional)'!$B$18:$M$29,10),(IF(J66="13",VLOOKUP(N66,'K% (Rede Convencional)'!$B$18:$M$29,11),(IF(J66="12",VLOOKUP(N66,'K% (Rede Convencional)'!$B$18:$M$29,12),0))))))))))</f>
        <v/>
      </c>
      <c r="M66" s="267" t="str">
        <f t="shared" si="6"/>
        <v/>
      </c>
      <c r="N66" s="267" t="str">
        <f>IF(K66="","",IF(K66="4 (4)","a",IF(OR(K66="2 (4)",K66="2 (2)"),VLOOKUP(K66,BT!$AE$21:$AF$22,2,FALSE),IF(OR(K66="1/0 (4)",K66="1/0 (2)"),VLOOKUP(K66,BT!$AE$24:$AF$25,2,FALSE),IF(OR(K66="4/0 (4)",K66="4/0 (2)",K66="4/0 (1/0)"),VLOOKUP(K66,BT!$AE$27:$AF$29,2,FALSE),IF(OR(K66="336,4 (4)",K66="336,4 (2)",K66="336,4 (1/0)",K66="336,4 (4/0)"),VLOOKUP(K66,BT!$AE$31:$AF$34,2,FALSE),0))))))</f>
        <v/>
      </c>
      <c r="O66" s="38"/>
      <c r="P66" s="268" t="str">
        <f t="shared" si="10"/>
        <v/>
      </c>
      <c r="Q66" s="268" t="str">
        <f>IF(P66="","",SUM($P$45:P66)+$W$65)</f>
        <v/>
      </c>
      <c r="R66" s="268" t="str">
        <f t="shared" si="11"/>
        <v/>
      </c>
      <c r="S66" s="269" t="str">
        <f>IF(OR(M66="a",N66="a"),VLOOKUP("a",'Características dos Cabos'!$D$25:$L$29,9),IF(OR(M66="b",M66="c",N66="b",N66="c"),VLOOKUP("b",'Características dos Cabos'!$D$25:$L$29,9),IF(OR(M66="d",M66="e",N66="d",N66="e"),VLOOKUP("c",'Características dos Cabos'!$D$25:$L$29,9),IF(OR(M66="f",M66="g",M66="h",N66="f",N66="g",N66="h"),VLOOKUP("d",'Características dos Cabos'!$D$25:$L$29,9),IF(OR(M66="i",M66="j",M66="l",M66="m",N66="i",N66="j",N66="l",N66="m"),VLOOKUP("e",'Características dos Cabos'!$D$25:$L$29,9),"")))))</f>
        <v/>
      </c>
      <c r="T66" s="268" t="str">
        <f t="shared" si="7"/>
        <v/>
      </c>
      <c r="U66" s="269" t="str">
        <f>IF(OR(M66="a",N66="a"),VLOOKUP("a",'Características dos Cabos'!$D$25:$L$29,3),IF(OR(M66="b",M66="c",N66="b",N66="c"),VLOOKUP("b",'Características dos Cabos'!$D$25:$L$29,3),IF(OR(M66="d",M66="e",N66="d",N66="e"),VLOOKUP("c",'Características dos Cabos'!$D$25:$L$29,3),IF(OR(M66="f",M66="g",M66="h",N66="f",N66="g",N66="h"),VLOOKUP("d",'Características dos Cabos'!$D$25:$L$29,3),IF(OR(M66="i",M66="j",M66="l",M66="m",N66="i",N66="j",N66="l",N66="m"),VLOOKUP("e",'Características dos Cabos'!$D$25:$L$29,3),"")))))</f>
        <v/>
      </c>
      <c r="V66" s="270" t="str">
        <f t="shared" si="12"/>
        <v/>
      </c>
      <c r="W66" s="243"/>
      <c r="X66" s="257">
        <f t="shared" si="8"/>
        <v>0</v>
      </c>
      <c r="Y66" s="257">
        <f t="shared" si="9"/>
        <v>0</v>
      </c>
      <c r="Z66" s="243"/>
    </row>
    <row r="67" spans="1:26" ht="15" customHeight="1">
      <c r="A67" s="639"/>
      <c r="B67" s="642"/>
      <c r="C67" s="27"/>
      <c r="D67" s="23"/>
      <c r="E67" s="38"/>
      <c r="F67" s="92" t="str">
        <f t="shared" si="5"/>
        <v/>
      </c>
      <c r="G67" s="38"/>
      <c r="H67" s="265" t="str">
        <f>IF(AND(E67="",G67=""),"",SUM(F67:G74))</f>
        <v/>
      </c>
      <c r="J67" s="23"/>
      <c r="K67" s="23"/>
      <c r="L67" s="266" t="str">
        <f>IF(OR(J67="",K67=""),"",IF(J67="3",VLOOKUP(M67,'K% (Rede Convencional)'!$B$18:$M$29,8),(IF(J67="2",VLOOKUP(N67,'K% (Rede Convencional)'!$B$18:$M$29,9),(IF(J67="1",VLOOKUP(N67,'K% (Rede Convencional)'!$B$18:$M$29,10),(IF(J67="13",VLOOKUP(N67,'K% (Rede Convencional)'!$B$18:$M$29,11),(IF(J67="12",VLOOKUP(N67,'K% (Rede Convencional)'!$B$18:$M$29,12),0))))))))))</f>
        <v/>
      </c>
      <c r="M67" s="267" t="str">
        <f t="shared" si="6"/>
        <v/>
      </c>
      <c r="N67" s="267" t="str">
        <f>IF(K67="","",IF(K67="4 (4)","a",IF(OR(K67="2 (4)",K67="2 (2)"),VLOOKUP(K67,BT!$AE$21:$AF$22,2,FALSE),IF(OR(K67="1/0 (4)",K67="1/0 (2)"),VLOOKUP(K67,BT!$AE$24:$AF$25,2,FALSE),IF(OR(K67="4/0 (4)",K67="4/0 (2)",K67="4/0 (1/0)"),VLOOKUP(K67,BT!$AE$27:$AF$29,2,FALSE),IF(OR(K67="336,4 (4)",K67="336,4 (2)",K67="336,4 (1/0)",K67="336,4 (4/0)"),VLOOKUP(K67,BT!$AE$31:$AF$34,2,FALSE),0))))))</f>
        <v/>
      </c>
      <c r="O67" s="38"/>
      <c r="P67" s="268" t="str">
        <f t="shared" si="10"/>
        <v/>
      </c>
      <c r="Q67" s="268" t="str">
        <f>IF(P67="","",SUM($P$45:P67)+$W$65)</f>
        <v/>
      </c>
      <c r="R67" s="268" t="str">
        <f t="shared" si="11"/>
        <v/>
      </c>
      <c r="S67" s="269" t="str">
        <f>IF(OR(M67="a",N67="a"),VLOOKUP("a",'Características dos Cabos'!$D$25:$L$29,9),IF(OR(M67="b",M67="c",N67="b",N67="c"),VLOOKUP("b",'Características dos Cabos'!$D$25:$L$29,9),IF(OR(M67="d",M67="e",N67="d",N67="e"),VLOOKUP("c",'Características dos Cabos'!$D$25:$L$29,9),IF(OR(M67="f",M67="g",M67="h",N67="f",N67="g",N67="h"),VLOOKUP("d",'Características dos Cabos'!$D$25:$L$29,9),IF(OR(M67="i",M67="j",M67="l",M67="m",N67="i",N67="j",N67="l",N67="m"),VLOOKUP("e",'Características dos Cabos'!$D$25:$L$29,9),"")))))</f>
        <v/>
      </c>
      <c r="T67" s="268" t="str">
        <f t="shared" si="7"/>
        <v/>
      </c>
      <c r="U67" s="269" t="str">
        <f>IF(OR(M67="a",N67="a"),VLOOKUP("a",'Características dos Cabos'!$D$25:$L$29,3),IF(OR(M67="b",M67="c",N67="b",N67="c"),VLOOKUP("b",'Características dos Cabos'!$D$25:$L$29,3),IF(OR(M67="d",M67="e",N67="d",N67="e"),VLOOKUP("c",'Características dos Cabos'!$D$25:$L$29,3),IF(OR(M67="f",M67="g",M67="h",N67="f",N67="g",N67="h"),VLOOKUP("d",'Características dos Cabos'!$D$25:$L$29,3),IF(OR(M67="i",M67="j",M67="l",M67="m",N67="i",N67="j",N67="l",N67="m"),VLOOKUP("e",'Características dos Cabos'!$D$25:$L$29,3),"")))))</f>
        <v/>
      </c>
      <c r="V67" s="270" t="str">
        <f t="shared" si="12"/>
        <v/>
      </c>
      <c r="W67" s="243"/>
      <c r="X67" s="257">
        <f t="shared" si="8"/>
        <v>0</v>
      </c>
      <c r="Y67" s="257">
        <f t="shared" si="9"/>
        <v>0</v>
      </c>
      <c r="Z67" s="243"/>
    </row>
    <row r="68" spans="1:26" ht="15" customHeight="1">
      <c r="A68" s="639"/>
      <c r="B68" s="642"/>
      <c r="C68" s="27"/>
      <c r="D68" s="23"/>
      <c r="E68" s="38"/>
      <c r="F68" s="92" t="str">
        <f t="shared" si="5"/>
        <v/>
      </c>
      <c r="G68" s="38"/>
      <c r="H68" s="265" t="str">
        <f>IF(AND(E68="",G68=""),"",SUM(F68:G74))</f>
        <v/>
      </c>
      <c r="J68" s="23"/>
      <c r="K68" s="23"/>
      <c r="L68" s="266" t="str">
        <f>IF(OR(J68="",K68=""),"",IF(J68="3",VLOOKUP(M68,'K% (Rede Convencional)'!$B$18:$M$29,8),(IF(J68="2",VLOOKUP(N68,'K% (Rede Convencional)'!$B$18:$M$29,9),(IF(J68="1",VLOOKUP(N68,'K% (Rede Convencional)'!$B$18:$M$29,10),(IF(J68="13",VLOOKUP(N68,'K% (Rede Convencional)'!$B$18:$M$29,11),(IF(J68="12",VLOOKUP(N68,'K% (Rede Convencional)'!$B$18:$M$29,12),0))))))))))</f>
        <v/>
      </c>
      <c r="M68" s="267" t="str">
        <f t="shared" si="6"/>
        <v/>
      </c>
      <c r="N68" s="267" t="str">
        <f>IF(K68="","",IF(K68="4 (4)","a",IF(OR(K68="2 (4)",K68="2 (2)"),VLOOKUP(K68,BT!$AE$21:$AF$22,2,FALSE),IF(OR(K68="1/0 (4)",K68="1/0 (2)"),VLOOKUP(K68,BT!$AE$24:$AF$25,2,FALSE),IF(OR(K68="4/0 (4)",K68="4/0 (2)",K68="4/0 (1/0)"),VLOOKUP(K68,BT!$AE$27:$AF$29,2,FALSE),IF(OR(K68="336,4 (4)",K68="336,4 (2)",K68="336,4 (1/0)",K68="336,4 (4/0)"),VLOOKUP(K68,BT!$AE$31:$AF$34,2,FALSE),0))))))</f>
        <v/>
      </c>
      <c r="O68" s="38"/>
      <c r="P68" s="268" t="str">
        <f t="shared" si="10"/>
        <v/>
      </c>
      <c r="Q68" s="268" t="str">
        <f>IF(P68="","",SUM($P$45:P68)+$W$65)</f>
        <v/>
      </c>
      <c r="R68" s="268" t="str">
        <f t="shared" si="11"/>
        <v/>
      </c>
      <c r="S68" s="269" t="str">
        <f>IF(OR(M68="a",N68="a"),VLOOKUP("a",'Características dos Cabos'!$D$25:$L$29,9),IF(OR(M68="b",M68="c",N68="b",N68="c"),VLOOKUP("b",'Características dos Cabos'!$D$25:$L$29,9),IF(OR(M68="d",M68="e",N68="d",N68="e"),VLOOKUP("c",'Características dos Cabos'!$D$25:$L$29,9),IF(OR(M68="f",M68="g",M68="h",N68="f",N68="g",N68="h"),VLOOKUP("d",'Características dos Cabos'!$D$25:$L$29,9),IF(OR(M68="i",M68="j",M68="l",M68="m",N68="i",N68="j",N68="l",N68="m"),VLOOKUP("e",'Características dos Cabos'!$D$25:$L$29,9),"")))))</f>
        <v/>
      </c>
      <c r="T68" s="268" t="str">
        <f t="shared" si="7"/>
        <v/>
      </c>
      <c r="U68" s="269" t="str">
        <f>IF(OR(M68="a",N68="a"),VLOOKUP("a",'Características dos Cabos'!$D$25:$L$29,3),IF(OR(M68="b",M68="c",N68="b",N68="c"),VLOOKUP("b",'Características dos Cabos'!$D$25:$L$29,3),IF(OR(M68="d",M68="e",N68="d",N68="e"),VLOOKUP("c",'Características dos Cabos'!$D$25:$L$29,3),IF(OR(M68="f",M68="g",M68="h",N68="f",N68="g",N68="h"),VLOOKUP("d",'Características dos Cabos'!$D$25:$L$29,3),IF(OR(M68="i",M68="j",M68="l",M68="m",N68="i",N68="j",N68="l",N68="m"),VLOOKUP("e",'Características dos Cabos'!$D$25:$L$29,3),"")))))</f>
        <v/>
      </c>
      <c r="V68" s="270" t="str">
        <f t="shared" si="12"/>
        <v/>
      </c>
      <c r="W68" s="243"/>
      <c r="X68" s="257">
        <f t="shared" si="8"/>
        <v>0</v>
      </c>
      <c r="Y68" s="257">
        <f t="shared" si="9"/>
        <v>0</v>
      </c>
      <c r="Z68" s="243"/>
    </row>
    <row r="69" spans="1:26" ht="15" customHeight="1">
      <c r="A69" s="639"/>
      <c r="B69" s="642"/>
      <c r="C69" s="27"/>
      <c r="D69" s="23"/>
      <c r="E69" s="38"/>
      <c r="F69" s="92" t="str">
        <f t="shared" si="5"/>
        <v/>
      </c>
      <c r="G69" s="38"/>
      <c r="H69" s="265" t="str">
        <f>IF(AND(E69="",G69=""),"",SUM(F69:G74))</f>
        <v/>
      </c>
      <c r="J69" s="23"/>
      <c r="K69" s="23"/>
      <c r="L69" s="266" t="str">
        <f>IF(OR(J69="",K69=""),"",IF(J69="3",VLOOKUP(M69,'K% (Rede Convencional)'!$B$18:$M$29,8),(IF(J69="2",VLOOKUP(N69,'K% (Rede Convencional)'!$B$18:$M$29,9),(IF(J69="1",VLOOKUP(N69,'K% (Rede Convencional)'!$B$18:$M$29,10),(IF(J69="13",VLOOKUP(N69,'K% (Rede Convencional)'!$B$18:$M$29,11),(IF(J69="12",VLOOKUP(N69,'K% (Rede Convencional)'!$B$18:$M$29,12),0))))))))))</f>
        <v/>
      </c>
      <c r="M69" s="267" t="str">
        <f t="shared" si="6"/>
        <v/>
      </c>
      <c r="N69" s="267" t="str">
        <f>IF(K69="","",IF(K69="4 (4)","a",IF(OR(K69="2 (4)",K69="2 (2)"),VLOOKUP(K69,BT!$AE$21:$AF$22,2,FALSE),IF(OR(K69="1/0 (4)",K69="1/0 (2)"),VLOOKUP(K69,BT!$AE$24:$AF$25,2,FALSE),IF(OR(K69="4/0 (4)",K69="4/0 (2)",K69="4/0 (1/0)"),VLOOKUP(K69,BT!$AE$27:$AF$29,2,FALSE),IF(OR(K69="336,4 (4)",K69="336,4 (2)",K69="336,4 (1/0)",K69="336,4 (4/0)"),VLOOKUP(K69,BT!$AE$31:$AF$34,2,FALSE),0))))))</f>
        <v/>
      </c>
      <c r="O69" s="38"/>
      <c r="P69" s="268" t="str">
        <f t="shared" si="10"/>
        <v/>
      </c>
      <c r="Q69" s="268" t="str">
        <f>IF(P69="","",SUM($P$45:P69)+$W$65)</f>
        <v/>
      </c>
      <c r="R69" s="268" t="str">
        <f t="shared" si="11"/>
        <v/>
      </c>
      <c r="S69" s="269" t="str">
        <f>IF(OR(M69="a",N69="a"),VLOOKUP("a",'Características dos Cabos'!$D$25:$L$29,9),IF(OR(M69="b",M69="c",N69="b",N69="c"),VLOOKUP("b",'Características dos Cabos'!$D$25:$L$29,9),IF(OR(M69="d",M69="e",N69="d",N69="e"),VLOOKUP("c",'Características dos Cabos'!$D$25:$L$29,9),IF(OR(M69="f",M69="g",M69="h",N69="f",N69="g",N69="h"),VLOOKUP("d",'Características dos Cabos'!$D$25:$L$29,9),IF(OR(M69="i",M69="j",M69="l",M69="m",N69="i",N69="j",N69="l",N69="m"),VLOOKUP("e",'Características dos Cabos'!$D$25:$L$29,9),"")))))</f>
        <v/>
      </c>
      <c r="T69" s="268" t="str">
        <f t="shared" si="7"/>
        <v/>
      </c>
      <c r="U69" s="269" t="str">
        <f>IF(OR(M69="a",N69="a"),VLOOKUP("a",'Características dos Cabos'!$D$25:$L$29,3),IF(OR(M69="b",M69="c",N69="b",N69="c"),VLOOKUP("b",'Características dos Cabos'!$D$25:$L$29,3),IF(OR(M69="d",M69="e",N69="d",N69="e"),VLOOKUP("c",'Características dos Cabos'!$D$25:$L$29,3),IF(OR(M69="f",M69="g",M69="h",N69="f",N69="g",N69="h"),VLOOKUP("d",'Características dos Cabos'!$D$25:$L$29,3),IF(OR(M69="i",M69="j",M69="l",M69="m",N69="i",N69="j",N69="l",N69="m"),VLOOKUP("e",'Características dos Cabos'!$D$25:$L$29,3),"")))))</f>
        <v/>
      </c>
      <c r="V69" s="270" t="str">
        <f t="shared" si="12"/>
        <v/>
      </c>
      <c r="W69" s="243"/>
      <c r="X69" s="257">
        <f t="shared" si="8"/>
        <v>0</v>
      </c>
      <c r="Y69" s="257">
        <f t="shared" si="9"/>
        <v>0</v>
      </c>
      <c r="Z69" s="243"/>
    </row>
    <row r="70" spans="1:26" ht="15" customHeight="1">
      <c r="A70" s="639"/>
      <c r="B70" s="642"/>
      <c r="C70" s="27"/>
      <c r="D70" s="23"/>
      <c r="E70" s="38"/>
      <c r="F70" s="92" t="str">
        <f t="shared" si="5"/>
        <v/>
      </c>
      <c r="G70" s="38"/>
      <c r="H70" s="265" t="str">
        <f>IF(AND(E70="",G70=""),"",SUM(F70:G74))</f>
        <v/>
      </c>
      <c r="J70" s="23"/>
      <c r="K70" s="23"/>
      <c r="L70" s="266" t="str">
        <f>IF(OR(J70="",K70=""),"",IF(J70="3",VLOOKUP(M70,'K% (Rede Convencional)'!$B$18:$M$29,8),(IF(J70="2",VLOOKUP(N70,'K% (Rede Convencional)'!$B$18:$M$29,9),(IF(J70="1",VLOOKUP(N70,'K% (Rede Convencional)'!$B$18:$M$29,10),(IF(J70="13",VLOOKUP(N70,'K% (Rede Convencional)'!$B$18:$M$29,11),(IF(J70="12",VLOOKUP(N70,'K% (Rede Convencional)'!$B$18:$M$29,12),0))))))))))</f>
        <v/>
      </c>
      <c r="M70" s="267" t="str">
        <f t="shared" si="6"/>
        <v/>
      </c>
      <c r="N70" s="267" t="str">
        <f>IF(K70="","",IF(K70="4 (4)","a",IF(OR(K70="2 (4)",K70="2 (2)"),VLOOKUP(K70,BT!$AE$21:$AF$22,2,FALSE),IF(OR(K70="1/0 (4)",K70="1/0 (2)"),VLOOKUP(K70,BT!$AE$24:$AF$25,2,FALSE),IF(OR(K70="4/0 (4)",K70="4/0 (2)",K70="4/0 (1/0)"),VLOOKUP(K70,BT!$AE$27:$AF$29,2,FALSE),IF(OR(K70="336,4 (4)",K70="336,4 (2)",K70="336,4 (1/0)",K70="336,4 (4/0)"),VLOOKUP(K70,BT!$AE$31:$AF$34,2,FALSE),0))))))</f>
        <v/>
      </c>
      <c r="O70" s="38"/>
      <c r="P70" s="268" t="str">
        <f t="shared" si="10"/>
        <v/>
      </c>
      <c r="Q70" s="268" t="str">
        <f>IF(P70="","",SUM($P$45:P70)+$W$65)</f>
        <v/>
      </c>
      <c r="R70" s="268" t="str">
        <f t="shared" si="11"/>
        <v/>
      </c>
      <c r="S70" s="269" t="str">
        <f>IF(OR(M70="a",N70="a"),VLOOKUP("a",'Características dos Cabos'!$D$25:$L$29,9),IF(OR(M70="b",M70="c",N70="b",N70="c"),VLOOKUP("b",'Características dos Cabos'!$D$25:$L$29,9),IF(OR(M70="d",M70="e",N70="d",N70="e"),VLOOKUP("c",'Características dos Cabos'!$D$25:$L$29,9),IF(OR(M70="f",M70="g",M70="h",N70="f",N70="g",N70="h"),VLOOKUP("d",'Características dos Cabos'!$D$25:$L$29,9),IF(OR(M70="i",M70="j",M70="l",M70="m",N70="i",N70="j",N70="l",N70="m"),VLOOKUP("e",'Características dos Cabos'!$D$25:$L$29,9),"")))))</f>
        <v/>
      </c>
      <c r="T70" s="268" t="str">
        <f t="shared" si="7"/>
        <v/>
      </c>
      <c r="U70" s="269" t="str">
        <f>IF(OR(M70="a",N70="a"),VLOOKUP("a",'Características dos Cabos'!$D$25:$L$29,3),IF(OR(M70="b",M70="c",N70="b",N70="c"),VLOOKUP("b",'Características dos Cabos'!$D$25:$L$29,3),IF(OR(M70="d",M70="e",N70="d",N70="e"),VLOOKUP("c",'Características dos Cabos'!$D$25:$L$29,3),IF(OR(M70="f",M70="g",M70="h",N70="f",N70="g",N70="h"),VLOOKUP("d",'Características dos Cabos'!$D$25:$L$29,3),IF(OR(M70="i",M70="j",M70="l",M70="m",N70="i",N70="j",N70="l",N70="m"),VLOOKUP("e",'Características dos Cabos'!$D$25:$L$29,3),"")))))</f>
        <v/>
      </c>
      <c r="V70" s="270" t="str">
        <f t="shared" si="12"/>
        <v/>
      </c>
      <c r="W70" s="243"/>
      <c r="X70" s="257">
        <f t="shared" si="8"/>
        <v>0</v>
      </c>
      <c r="Y70" s="257">
        <f t="shared" si="9"/>
        <v>0</v>
      </c>
      <c r="Z70" s="243"/>
    </row>
    <row r="71" spans="1:26" ht="15" customHeight="1">
      <c r="A71" s="639"/>
      <c r="B71" s="642"/>
      <c r="C71" s="27"/>
      <c r="D71" s="23"/>
      <c r="E71" s="38"/>
      <c r="F71" s="92" t="str">
        <f t="shared" si="5"/>
        <v/>
      </c>
      <c r="G71" s="38"/>
      <c r="H71" s="265" t="str">
        <f>IF(AND(E71="",G71=""),"",SUM(F71:G74))</f>
        <v/>
      </c>
      <c r="J71" s="23"/>
      <c r="K71" s="23"/>
      <c r="L71" s="266" t="str">
        <f>IF(OR(J71="",K71=""),"",IF(J71="3",VLOOKUP(M71,'K% (Rede Convencional)'!$B$18:$M$29,8),(IF(J71="2",VLOOKUP(N71,'K% (Rede Convencional)'!$B$18:$M$29,9),(IF(J71="1",VLOOKUP(N71,'K% (Rede Convencional)'!$B$18:$M$29,10),(IF(J71="13",VLOOKUP(N71,'K% (Rede Convencional)'!$B$18:$M$29,11),(IF(J71="12",VLOOKUP(N71,'K% (Rede Convencional)'!$B$18:$M$29,12),0))))))))))</f>
        <v/>
      </c>
      <c r="M71" s="267" t="str">
        <f t="shared" si="6"/>
        <v/>
      </c>
      <c r="N71" s="267" t="str">
        <f>IF(K71="","",IF(K71="4 (4)","a",IF(OR(K71="2 (4)",K71="2 (2)"),VLOOKUP(K71,BT!$AE$21:$AF$22,2,FALSE),IF(OR(K71="1/0 (4)",K71="1/0 (2)"),VLOOKUP(K71,BT!$AE$24:$AF$25,2,FALSE),IF(OR(K71="4/0 (4)",K71="4/0 (2)",K71="4/0 (1/0)"),VLOOKUP(K71,BT!$AE$27:$AF$29,2,FALSE),IF(OR(K71="336,4 (4)",K71="336,4 (2)",K71="336,4 (1/0)",K71="336,4 (4/0)"),VLOOKUP(K71,BT!$AE$31:$AF$34,2,FALSE),0))))))</f>
        <v/>
      </c>
      <c r="O71" s="38"/>
      <c r="P71" s="268" t="str">
        <f t="shared" si="10"/>
        <v/>
      </c>
      <c r="Q71" s="268" t="str">
        <f>IF(P71="","",SUM($P$45:P71)+$W$65)</f>
        <v/>
      </c>
      <c r="R71" s="268" t="str">
        <f t="shared" si="11"/>
        <v/>
      </c>
      <c r="S71" s="269" t="str">
        <f>IF(OR(M71="a",N71="a"),VLOOKUP("a",'Características dos Cabos'!$D$25:$L$29,9),IF(OR(M71="b",M71="c",N71="b",N71="c"),VLOOKUP("b",'Características dos Cabos'!$D$25:$L$29,9),IF(OR(M71="d",M71="e",N71="d",N71="e"),VLOOKUP("c",'Características dos Cabos'!$D$25:$L$29,9),IF(OR(M71="f",M71="g",M71="h",N71="f",N71="g",N71="h"),VLOOKUP("d",'Características dos Cabos'!$D$25:$L$29,9),IF(OR(M71="i",M71="j",M71="l",M71="m",N71="i",N71="j",N71="l",N71="m"),VLOOKUP("e",'Características dos Cabos'!$D$25:$L$29,9),"")))))</f>
        <v/>
      </c>
      <c r="T71" s="268" t="str">
        <f t="shared" si="7"/>
        <v/>
      </c>
      <c r="U71" s="269" t="str">
        <f>IF(OR(M71="a",N71="a"),VLOOKUP("a",'Características dos Cabos'!$D$25:$L$29,3),IF(OR(M71="b",M71="c",N71="b",N71="c"),VLOOKUP("b",'Características dos Cabos'!$D$25:$L$29,3),IF(OR(M71="d",M71="e",N71="d",N71="e"),VLOOKUP("c",'Características dos Cabos'!$D$25:$L$29,3),IF(OR(M71="f",M71="g",M71="h",N71="f",N71="g",N71="h"),VLOOKUP("d",'Características dos Cabos'!$D$25:$L$29,3),IF(OR(M71="i",M71="j",M71="l",M71="m",N71="i",N71="j",N71="l",N71="m"),VLOOKUP("e",'Características dos Cabos'!$D$25:$L$29,3),"")))))</f>
        <v/>
      </c>
      <c r="V71" s="270" t="str">
        <f t="shared" si="12"/>
        <v/>
      </c>
      <c r="W71" s="243"/>
      <c r="X71" s="257">
        <f t="shared" si="8"/>
        <v>0</v>
      </c>
      <c r="Y71" s="257">
        <f t="shared" si="9"/>
        <v>0</v>
      </c>
      <c r="Z71" s="243"/>
    </row>
    <row r="72" spans="1:26" ht="15" customHeight="1">
      <c r="A72" s="639"/>
      <c r="B72" s="642"/>
      <c r="C72" s="27"/>
      <c r="D72" s="23"/>
      <c r="E72" s="38"/>
      <c r="F72" s="92" t="str">
        <f t="shared" si="5"/>
        <v/>
      </c>
      <c r="G72" s="38"/>
      <c r="H72" s="265" t="str">
        <f>IF(AND(E72="",G72=""),"",SUM(F72:G74))</f>
        <v/>
      </c>
      <c r="J72" s="23"/>
      <c r="K72" s="23"/>
      <c r="L72" s="266" t="str">
        <f>IF(OR(J72="",K72=""),"",IF(J72="3",VLOOKUP(M72,'K% (Rede Convencional)'!$B$18:$M$29,8),(IF(J72="2",VLOOKUP(N72,'K% (Rede Convencional)'!$B$18:$M$29,9),(IF(J72="1",VLOOKUP(N72,'K% (Rede Convencional)'!$B$18:$M$29,10),(IF(J72="13",VLOOKUP(N72,'K% (Rede Convencional)'!$B$18:$M$29,11),(IF(J72="12",VLOOKUP(N72,'K% (Rede Convencional)'!$B$18:$M$29,12),0))))))))))</f>
        <v/>
      </c>
      <c r="M72" s="267" t="str">
        <f t="shared" si="6"/>
        <v/>
      </c>
      <c r="N72" s="267" t="str">
        <f>IF(K72="","",IF(K72="4 (4)","a",IF(OR(K72="2 (4)",K72="2 (2)"),VLOOKUP(K72,BT!$AE$21:$AF$22,2,FALSE),IF(OR(K72="1/0 (4)",K72="1/0 (2)"),VLOOKUP(K72,BT!$AE$24:$AF$25,2,FALSE),IF(OR(K72="4/0 (4)",K72="4/0 (2)",K72="4/0 (1/0)"),VLOOKUP(K72,BT!$AE$27:$AF$29,2,FALSE),IF(OR(K72="336,4 (4)",K72="336,4 (2)",K72="336,4 (1/0)",K72="336,4 (4/0)"),VLOOKUP(K72,BT!$AE$31:$AF$34,2,FALSE),0))))))</f>
        <v/>
      </c>
      <c r="O72" s="38"/>
      <c r="P72" s="268" t="str">
        <f t="shared" si="10"/>
        <v/>
      </c>
      <c r="Q72" s="268" t="str">
        <f>IF(P72="","",SUM($P$45:P72)+$W$65)</f>
        <v/>
      </c>
      <c r="R72" s="268" t="str">
        <f t="shared" si="11"/>
        <v/>
      </c>
      <c r="S72" s="269" t="str">
        <f>IF(OR(M72="a",N72="a"),VLOOKUP("a",'Características dos Cabos'!$D$25:$L$29,9),IF(OR(M72="b",M72="c",N72="b",N72="c"),VLOOKUP("b",'Características dos Cabos'!$D$25:$L$29,9),IF(OR(M72="d",M72="e",N72="d",N72="e"),VLOOKUP("c",'Características dos Cabos'!$D$25:$L$29,9),IF(OR(M72="f",M72="g",M72="h",N72="f",N72="g",N72="h"),VLOOKUP("d",'Características dos Cabos'!$D$25:$L$29,9),IF(OR(M72="i",M72="j",M72="l",M72="m",N72="i",N72="j",N72="l",N72="m"),VLOOKUP("e",'Características dos Cabos'!$D$25:$L$29,9),"")))))</f>
        <v/>
      </c>
      <c r="T72" s="268" t="str">
        <f t="shared" si="7"/>
        <v/>
      </c>
      <c r="U72" s="269" t="str">
        <f>IF(OR(M72="a",N72="a"),VLOOKUP("a",'Características dos Cabos'!$D$25:$L$29,3),IF(OR(M72="b",M72="c",N72="b",N72="c"),VLOOKUP("b",'Características dos Cabos'!$D$25:$L$29,3),IF(OR(M72="d",M72="e",N72="d",N72="e"),VLOOKUP("c",'Características dos Cabos'!$D$25:$L$29,3),IF(OR(M72="f",M72="g",M72="h",N72="f",N72="g",N72="h"),VLOOKUP("d",'Características dos Cabos'!$D$25:$L$29,3),IF(OR(M72="i",M72="j",M72="l",M72="m",N72="i",N72="j",N72="l",N72="m"),VLOOKUP("e",'Características dos Cabos'!$D$25:$L$29,3),"")))))</f>
        <v/>
      </c>
      <c r="V72" s="270" t="str">
        <f t="shared" si="12"/>
        <v/>
      </c>
      <c r="W72" s="243"/>
      <c r="X72" s="257">
        <f t="shared" si="8"/>
        <v>0</v>
      </c>
      <c r="Y72" s="257">
        <f t="shared" si="9"/>
        <v>0</v>
      </c>
      <c r="Z72" s="243"/>
    </row>
    <row r="73" spans="1:26" ht="15" customHeight="1">
      <c r="A73" s="639"/>
      <c r="B73" s="642"/>
      <c r="C73" s="27"/>
      <c r="D73" s="23"/>
      <c r="E73" s="38"/>
      <c r="F73" s="92" t="str">
        <f t="shared" si="5"/>
        <v/>
      </c>
      <c r="G73" s="38"/>
      <c r="H73" s="265" t="str">
        <f>IF(AND(E73="",G73=""),"",SUM(F73:G74))</f>
        <v/>
      </c>
      <c r="J73" s="23"/>
      <c r="K73" s="23"/>
      <c r="L73" s="266" t="str">
        <f>IF(OR(J73="",K73=""),"",IF(J73="3",VLOOKUP(M73,'K% (Rede Convencional)'!$B$18:$M$29,8),(IF(J73="2",VLOOKUP(N73,'K% (Rede Convencional)'!$B$18:$M$29,9),(IF(J73="1",VLOOKUP(N73,'K% (Rede Convencional)'!$B$18:$M$29,10),(IF(J73="13",VLOOKUP(N73,'K% (Rede Convencional)'!$B$18:$M$29,11),(IF(J73="12",VLOOKUP(N73,'K% (Rede Convencional)'!$B$18:$M$29,12),0))))))))))</f>
        <v/>
      </c>
      <c r="M73" s="267" t="str">
        <f t="shared" si="6"/>
        <v/>
      </c>
      <c r="N73" s="267" t="str">
        <f>IF(K73="","",IF(K73="4 (4)","a",IF(OR(K73="2 (4)",K73="2 (2)"),VLOOKUP(K73,BT!$AE$21:$AF$22,2,FALSE),IF(OR(K73="1/0 (4)",K73="1/0 (2)"),VLOOKUP(K73,BT!$AE$24:$AF$25,2,FALSE),IF(OR(K73="4/0 (4)",K73="4/0 (2)",K73="4/0 (1/0)"),VLOOKUP(K73,BT!$AE$27:$AF$29,2,FALSE),IF(OR(K73="336,4 (4)",K73="336,4 (2)",K73="336,4 (1/0)",K73="336,4 (4/0)"),VLOOKUP(K73,BT!$AE$31:$AF$34,2,FALSE),0))))))</f>
        <v/>
      </c>
      <c r="O73" s="38"/>
      <c r="P73" s="268" t="str">
        <f t="shared" si="10"/>
        <v/>
      </c>
      <c r="Q73" s="268" t="str">
        <f>IF(P73="","",SUM($P$45:P73)+$W$65)</f>
        <v/>
      </c>
      <c r="R73" s="268" t="str">
        <f t="shared" si="11"/>
        <v/>
      </c>
      <c r="S73" s="269" t="str">
        <f>IF(OR(M73="a",N73="a"),VLOOKUP("a",'Características dos Cabos'!$D$25:$L$29,9),IF(OR(M73="b",M73="c",N73="b",N73="c"),VLOOKUP("b",'Características dos Cabos'!$D$25:$L$29,9),IF(OR(M73="d",M73="e",N73="d",N73="e"),VLOOKUP("c",'Características dos Cabos'!$D$25:$L$29,9),IF(OR(M73="f",M73="g",M73="h",N73="f",N73="g",N73="h"),VLOOKUP("d",'Características dos Cabos'!$D$25:$L$29,9),IF(OR(M73="i",M73="j",M73="l",M73="m",N73="i",N73="j",N73="l",N73="m"),VLOOKUP("e",'Características dos Cabos'!$D$25:$L$29,9),"")))))</f>
        <v/>
      </c>
      <c r="T73" s="268" t="str">
        <f t="shared" si="7"/>
        <v/>
      </c>
      <c r="U73" s="269" t="str">
        <f>IF(OR(M73="a",N73="a"),VLOOKUP("a",'Características dos Cabos'!$D$25:$L$29,3),IF(OR(M73="b",M73="c",N73="b",N73="c"),VLOOKUP("b",'Características dos Cabos'!$D$25:$L$29,3),IF(OR(M73="d",M73="e",N73="d",N73="e"),VLOOKUP("c",'Características dos Cabos'!$D$25:$L$29,3),IF(OR(M73="f",M73="g",M73="h",N73="f",N73="g",N73="h"),VLOOKUP("d",'Características dos Cabos'!$D$25:$L$29,3),IF(OR(M73="i",M73="j",M73="l",M73="m",N73="i",N73="j",N73="l",N73="m"),VLOOKUP("e",'Características dos Cabos'!$D$25:$L$29,3),"")))))</f>
        <v/>
      </c>
      <c r="V73" s="270" t="str">
        <f t="shared" si="12"/>
        <v/>
      </c>
      <c r="W73" s="243"/>
      <c r="X73" s="257">
        <f t="shared" si="8"/>
        <v>0</v>
      </c>
      <c r="Y73" s="257">
        <f t="shared" si="9"/>
        <v>0</v>
      </c>
      <c r="Z73" s="243"/>
    </row>
    <row r="74" spans="1:26" ht="15" customHeight="1" thickBot="1">
      <c r="A74" s="639"/>
      <c r="B74" s="643"/>
      <c r="C74" s="45"/>
      <c r="D74" s="46"/>
      <c r="E74" s="47"/>
      <c r="F74" s="54" t="str">
        <f t="shared" si="5"/>
        <v/>
      </c>
      <c r="G74" s="47"/>
      <c r="H74" s="271" t="str">
        <f>IF(AND(E74="",G74=""),"",SUM(F74:G74))</f>
        <v/>
      </c>
      <c r="J74" s="46"/>
      <c r="K74" s="46"/>
      <c r="L74" s="272" t="str">
        <f>IF(OR(J74="",K74=""),"",IF(J74="3",VLOOKUP(M74,'K% (Rede Convencional)'!$B$18:$M$29,8),(IF(J74="2",VLOOKUP(N74,'K% (Rede Convencional)'!$B$18:$M$29,9),(IF(J74="1",VLOOKUP(N74,'K% (Rede Convencional)'!$B$18:$M$29,10),(IF(J74="13",VLOOKUP(N74,'K% (Rede Convencional)'!$B$18:$M$29,11),(IF(J74="12",VLOOKUP(N74,'K% (Rede Convencional)'!$B$18:$M$29,12),0))))))))))</f>
        <v/>
      </c>
      <c r="M74" s="273" t="str">
        <f t="shared" si="6"/>
        <v/>
      </c>
      <c r="N74" s="273" t="str">
        <f>IF(K74="","",IF(K74="4 (4)","a",IF(OR(K74="2 (4)",K74="2 (2)"),VLOOKUP(K74,BT!$AE$21:$AF$22,2,FALSE),IF(OR(K74="1/0 (4)",K74="1/0 (2)"),VLOOKUP(K74,BT!$AE$24:$AF$25,2,FALSE),IF(OR(K74="4/0 (4)",K74="4/0 (2)",K74="4/0 (1/0)"),VLOOKUP(K74,BT!$AE$27:$AF$29,2,FALSE),IF(OR(K74="336,4 (4)",K74="336,4 (2)",K74="336,4 (1/0)",K74="336,4 (4/0)"),VLOOKUP(K74,BT!$AE$31:$AF$34,2,FALSE),0))))))</f>
        <v/>
      </c>
      <c r="O74" s="47"/>
      <c r="P74" s="274" t="str">
        <f t="shared" si="10"/>
        <v/>
      </c>
      <c r="Q74" s="274" t="str">
        <f>IF(P74="","",SUM($P$45:P74)+$W$65)</f>
        <v/>
      </c>
      <c r="R74" s="274" t="str">
        <f t="shared" si="11"/>
        <v/>
      </c>
      <c r="S74" s="275" t="str">
        <f>IF(OR(M74="a",N74="a"),VLOOKUP("a",'Características dos Cabos'!$D$25:$L$29,9),IF(OR(M74="b",M74="c",N74="b",N74="c"),VLOOKUP("b",'Características dos Cabos'!$D$25:$L$29,9),IF(OR(M74="d",M74="e",N74="d",N74="e"),VLOOKUP("c",'Características dos Cabos'!$D$25:$L$29,9),IF(OR(M74="f",M74="g",M74="h",N74="f",N74="g",N74="h"),VLOOKUP("d",'Características dos Cabos'!$D$25:$L$29,9),IF(OR(M74="i",M74="j",M74="l",M74="m",N74="i",N74="j",N74="l",N74="m"),VLOOKUP("e",'Características dos Cabos'!$D$25:$L$29,9),"")))))</f>
        <v/>
      </c>
      <c r="T74" s="274" t="str">
        <f t="shared" si="7"/>
        <v/>
      </c>
      <c r="U74" s="275" t="str">
        <f>IF(OR(M74="a",N74="a"),VLOOKUP("a",'Características dos Cabos'!$D$25:$L$29,3),IF(OR(M74="b",M74="c",N74="b",N74="c"),VLOOKUP("b",'Características dos Cabos'!$D$25:$L$29,3),IF(OR(M74="d",M74="e",N74="d",N74="e"),VLOOKUP("c",'Características dos Cabos'!$D$25:$L$29,3),IF(OR(M74="f",M74="g",M74="h",N74="f",N74="g",N74="h"),VLOOKUP("d",'Características dos Cabos'!$D$25:$L$29,3),IF(OR(M74="i",M74="j",M74="l",M74="m",N74="i",N74="j",N74="l",N74="m"),VLOOKUP("e",'Características dos Cabos'!$D$25:$L$29,3),"")))))</f>
        <v/>
      </c>
      <c r="V74" s="276" t="str">
        <f t="shared" si="12"/>
        <v/>
      </c>
      <c r="W74" s="243"/>
      <c r="X74" s="257">
        <f t="shared" si="8"/>
        <v>0</v>
      </c>
      <c r="Y74" s="257">
        <f t="shared" si="9"/>
        <v>0</v>
      </c>
      <c r="Z74" s="243"/>
    </row>
    <row r="75" spans="1:26" ht="15" customHeight="1" thickTop="1">
      <c r="A75" s="639"/>
      <c r="B75" s="641" t="str">
        <f>CONCATENATE("Ramal 4 - Derivando no ponto ",C75)</f>
        <v xml:space="preserve">Ramal 4 - Derivando no ponto </v>
      </c>
      <c r="C75" s="26"/>
      <c r="D75" s="25"/>
      <c r="E75" s="37"/>
      <c r="F75" s="92" t="str">
        <f t="shared" si="5"/>
        <v/>
      </c>
      <c r="G75" s="37"/>
      <c r="H75" s="278" t="str">
        <f>IF(AND(E75="",G75=""),"",SUM(F75:G84))</f>
        <v/>
      </c>
      <c r="J75" s="25"/>
      <c r="K75" s="25"/>
      <c r="L75" s="279" t="str">
        <f>IF(OR(J75="",K75=""),"",IF(J75="3",VLOOKUP(M75,'K% (Rede Convencional)'!$B$18:$M$29,8),(IF(J75="2",VLOOKUP(N75,'K% (Rede Convencional)'!$B$18:$M$29,9),(IF(J75="1",VLOOKUP(N75,'K% (Rede Convencional)'!$B$18:$M$29,10),(IF(J75="13",VLOOKUP(N75,'K% (Rede Convencional)'!$B$18:$M$29,11),(IF(J75="12",VLOOKUP(N75,'K% (Rede Convencional)'!$B$18:$M$29,12),0))))))))))</f>
        <v/>
      </c>
      <c r="M75" s="253" t="str">
        <f t="shared" si="6"/>
        <v/>
      </c>
      <c r="N75" s="253" t="str">
        <f>IF(K75="","",IF(K75="4 (4)","a",IF(OR(K75="2 (4)",K75="2 (2)"),VLOOKUP(K75,BT!$AE$21:$AF$22,2,FALSE),IF(OR(K75="1/0 (4)",K75="1/0 (2)"),VLOOKUP(K75,BT!$AE$24:$AF$25,2,FALSE),IF(OR(K75="4/0 (4)",K75="4/0 (2)",K75="4/0 (1/0)"),VLOOKUP(K75,BT!$AE$27:$AF$29,2,FALSE),IF(OR(K75="336,4 (4)",K75="336,4 (2)",K75="336,4 (1/0)",K75="336,4 (4/0)"),VLOOKUP(K75,BT!$AE$31:$AF$34,2,FALSE),0))))))</f>
        <v/>
      </c>
      <c r="O75" s="37"/>
      <c r="P75" s="280" t="str">
        <f t="shared" si="10"/>
        <v/>
      </c>
      <c r="Q75" s="280" t="str">
        <f>IF(P75="","",P75+VLOOKUP(C75,$D$21:$Q$43,13,FALSE))</f>
        <v/>
      </c>
      <c r="R75" s="280" t="str">
        <f t="shared" si="11"/>
        <v/>
      </c>
      <c r="S75" s="281" t="str">
        <f>IF(OR(M75="a",N75="a"),VLOOKUP("a",'Características dos Cabos'!$D$25:$L$29,9),IF(OR(M75="b",M75="c",N75="b",N75="c"),VLOOKUP("b",'Características dos Cabos'!$D$25:$L$29,9),IF(OR(M75="d",M75="e",N75="d",N75="e"),VLOOKUP("c",'Características dos Cabos'!$D$25:$L$29,9),IF(OR(M75="f",M75="g",M75="h",N75="f",N75="g",N75="h"),VLOOKUP("d",'Características dos Cabos'!$D$25:$L$29,9),IF(OR(M75="i",M75="j",M75="l",M75="m",N75="i",N75="j",N75="l",N75="m"),VLOOKUP("e",'Características dos Cabos'!$D$25:$L$29,9),"")))))</f>
        <v/>
      </c>
      <c r="T75" s="280" t="str">
        <f t="shared" si="7"/>
        <v/>
      </c>
      <c r="U75" s="281" t="str">
        <f>IF(OR(M75="a",N75="a"),VLOOKUP("a",'Características dos Cabos'!$D$25:$L$29,3),IF(OR(M75="b",M75="c",N75="b",N75="c"),VLOOKUP("b",'Características dos Cabos'!$D$25:$L$29,3),IF(OR(M75="d",M75="e",N75="d",N75="e"),VLOOKUP("c",'Características dos Cabos'!$D$25:$L$29,3),IF(OR(M75="f",M75="g",M75="h",N75="f",N75="g",N75="h"),VLOOKUP("d",'Características dos Cabos'!$D$25:$L$29,3),IF(OR(M75="i",M75="j",M75="l",M75="m",N75="i",N75="j",N75="l",N75="m"),VLOOKUP("e",'Características dos Cabos'!$D$25:$L$29,3),"")))))</f>
        <v/>
      </c>
      <c r="V75" s="282" t="str">
        <f t="shared" si="12"/>
        <v/>
      </c>
      <c r="W75" s="445" t="e">
        <f>VLOOKUP(C75,$D$21:$Q$43,13,FALSE)</f>
        <v>#N/A</v>
      </c>
      <c r="X75" s="257">
        <f t="shared" si="8"/>
        <v>0</v>
      </c>
      <c r="Y75" s="257">
        <f t="shared" si="9"/>
        <v>0</v>
      </c>
      <c r="Z75" s="243"/>
    </row>
    <row r="76" spans="1:26" ht="15" customHeight="1">
      <c r="A76" s="639"/>
      <c r="B76" s="642"/>
      <c r="C76" s="27"/>
      <c r="D76" s="23"/>
      <c r="E76" s="38"/>
      <c r="F76" s="92" t="str">
        <f t="shared" si="5"/>
        <v/>
      </c>
      <c r="G76" s="38"/>
      <c r="H76" s="265" t="str">
        <f>IF(AND(E76="",G76=""),"",SUM(F76:G84))</f>
        <v/>
      </c>
      <c r="J76" s="23"/>
      <c r="K76" s="23"/>
      <c r="L76" s="266" t="str">
        <f>IF(OR(J76="",K76=""),"",IF(J76="3",VLOOKUP(M76,'K% (Rede Convencional)'!$B$18:$M$29,8),(IF(J76="2",VLOOKUP(N76,'K% (Rede Convencional)'!$B$18:$M$29,9),(IF(J76="1",VLOOKUP(N76,'K% (Rede Convencional)'!$B$18:$M$29,10),(IF(J76="13",VLOOKUP(N76,'K% (Rede Convencional)'!$B$18:$M$29,11),(IF(J76="12",VLOOKUP(N76,'K% (Rede Convencional)'!$B$18:$M$29,12),0))))))))))</f>
        <v/>
      </c>
      <c r="M76" s="267" t="str">
        <f t="shared" si="6"/>
        <v/>
      </c>
      <c r="N76" s="267" t="str">
        <f>IF(K76="","",IF(K76="4 (4)","a",IF(OR(K76="2 (4)",K76="2 (2)"),VLOOKUP(K76,BT!$AE$21:$AF$22,2,FALSE),IF(OR(K76="1/0 (4)",K76="1/0 (2)"),VLOOKUP(K76,BT!$AE$24:$AF$25,2,FALSE),IF(OR(K76="4/0 (4)",K76="4/0 (2)",K76="4/0 (1/0)"),VLOOKUP(K76,BT!$AE$27:$AF$29,2,FALSE),IF(OR(K76="336,4 (4)",K76="336,4 (2)",K76="336,4 (1/0)",K76="336,4 (4/0)"),VLOOKUP(K76,BT!$AE$31:$AF$34,2,FALSE),0))))))</f>
        <v/>
      </c>
      <c r="O76" s="38"/>
      <c r="P76" s="268" t="str">
        <f t="shared" si="10"/>
        <v/>
      </c>
      <c r="Q76" s="268" t="str">
        <f>IF(P76="","",SUM($P$45:P76)+$W$75)</f>
        <v/>
      </c>
      <c r="R76" s="268" t="str">
        <f t="shared" si="11"/>
        <v/>
      </c>
      <c r="S76" s="269" t="str">
        <f>IF(OR(M76="a",N76="a"),VLOOKUP("a",'Características dos Cabos'!$D$25:$L$29,9),IF(OR(M76="b",M76="c",N76="b",N76="c"),VLOOKUP("b",'Características dos Cabos'!$D$25:$L$29,9),IF(OR(M76="d",M76="e",N76="d",N76="e"),VLOOKUP("c",'Características dos Cabos'!$D$25:$L$29,9),IF(OR(M76="f",M76="g",M76="h",N76="f",N76="g",N76="h"),VLOOKUP("d",'Características dos Cabos'!$D$25:$L$29,9),IF(OR(M76="i",M76="j",M76="l",M76="m",N76="i",N76="j",N76="l",N76="m"),VLOOKUP("e",'Características dos Cabos'!$D$25:$L$29,9),"")))))</f>
        <v/>
      </c>
      <c r="T76" s="268" t="str">
        <f t="shared" si="7"/>
        <v/>
      </c>
      <c r="U76" s="269" t="str">
        <f>IF(OR(M76="a",N76="a"),VLOOKUP("a",'Características dos Cabos'!$D$25:$L$29,3),IF(OR(M76="b",M76="c",N76="b",N76="c"),VLOOKUP("b",'Características dos Cabos'!$D$25:$L$29,3),IF(OR(M76="d",M76="e",N76="d",N76="e"),VLOOKUP("c",'Características dos Cabos'!$D$25:$L$29,3),IF(OR(M76="f",M76="g",M76="h",N76="f",N76="g",N76="h"),VLOOKUP("d",'Características dos Cabos'!$D$25:$L$29,3),IF(OR(M76="i",M76="j",M76="l",M76="m",N76="i",N76="j",N76="l",N76="m"),VLOOKUP("e",'Características dos Cabos'!$D$25:$L$29,3),"")))))</f>
        <v/>
      </c>
      <c r="V76" s="270" t="str">
        <f t="shared" si="12"/>
        <v/>
      </c>
      <c r="W76" s="243"/>
      <c r="X76" s="257">
        <f t="shared" si="8"/>
        <v>0</v>
      </c>
      <c r="Y76" s="257">
        <f t="shared" si="9"/>
        <v>0</v>
      </c>
      <c r="Z76" s="243"/>
    </row>
    <row r="77" spans="1:26" ht="15" customHeight="1">
      <c r="A77" s="639"/>
      <c r="B77" s="642"/>
      <c r="C77" s="27"/>
      <c r="D77" s="23"/>
      <c r="E77" s="38"/>
      <c r="F77" s="92" t="str">
        <f t="shared" si="5"/>
        <v/>
      </c>
      <c r="G77" s="38"/>
      <c r="H77" s="265" t="str">
        <f>IF(AND(E77="",G77=""),"",SUM(F77:G84))</f>
        <v/>
      </c>
      <c r="J77" s="23"/>
      <c r="K77" s="23"/>
      <c r="L77" s="266" t="str">
        <f>IF(OR(J77="",K77=""),"",IF(J77="3",VLOOKUP(M77,'K% (Rede Convencional)'!$B$18:$M$29,8),(IF(J77="2",VLOOKUP(N77,'K% (Rede Convencional)'!$B$18:$M$29,9),(IF(J77="1",VLOOKUP(N77,'K% (Rede Convencional)'!$B$18:$M$29,10),(IF(J77="13",VLOOKUP(N77,'K% (Rede Convencional)'!$B$18:$M$29,11),(IF(J77="12",VLOOKUP(N77,'K% (Rede Convencional)'!$B$18:$M$29,12),0))))))))))</f>
        <v/>
      </c>
      <c r="M77" s="267" t="str">
        <f t="shared" si="6"/>
        <v/>
      </c>
      <c r="N77" s="267" t="str">
        <f>IF(K77="","",IF(K77="4 (4)","a",IF(OR(K77="2 (4)",K77="2 (2)"),VLOOKUP(K77,BT!$AE$21:$AF$22,2,FALSE),IF(OR(K77="1/0 (4)",K77="1/0 (2)"),VLOOKUP(K77,BT!$AE$24:$AF$25,2,FALSE),IF(OR(K77="4/0 (4)",K77="4/0 (2)",K77="4/0 (1/0)"),VLOOKUP(K77,BT!$AE$27:$AF$29,2,FALSE),IF(OR(K77="336,4 (4)",K77="336,4 (2)",K77="336,4 (1/0)",K77="336,4 (4/0)"),VLOOKUP(K77,BT!$AE$31:$AF$34,2,FALSE),0))))))</f>
        <v/>
      </c>
      <c r="O77" s="38"/>
      <c r="P77" s="268" t="str">
        <f t="shared" si="13" ref="P77:P108">IF(OR(H77="",L77="",O77=""),"",L77*H77*O77)</f>
        <v/>
      </c>
      <c r="Q77" s="268" t="str">
        <f>IF(P77="","",SUM($P$45:P77)+$W$75)</f>
        <v/>
      </c>
      <c r="R77" s="268" t="str">
        <f t="shared" si="14" ref="R77:R108">IF(H77="","",IF(J77="3",H77*1000/($D$14*SQRT(3)),IF(J77="2",H77*1000*SQRT(3)/($D$14*2),IF(J77="1",H77*1000*SQRT(3)/$D$14,IF(J77="13",H77*1000/$D$16,IF(J77="12",H77*1000*2/$D$16,"erro"))))))</f>
        <v/>
      </c>
      <c r="S77" s="269" t="str">
        <f>IF(OR(M77="a",N77="a"),VLOOKUP("a",'Características dos Cabos'!$D$25:$L$29,9),IF(OR(M77="b",M77="c",N77="b",N77="c"),VLOOKUP("b",'Características dos Cabos'!$D$25:$L$29,9),IF(OR(M77="d",M77="e",N77="d",N77="e"),VLOOKUP("c",'Características dos Cabos'!$D$25:$L$29,9),IF(OR(M77="f",M77="g",M77="h",N77="f",N77="g",N77="h"),VLOOKUP("d",'Características dos Cabos'!$D$25:$L$29,9),IF(OR(M77="i",M77="j",M77="l",M77="m",N77="i",N77="j",N77="l",N77="m"),VLOOKUP("e",'Características dos Cabos'!$D$25:$L$29,9),"")))))</f>
        <v/>
      </c>
      <c r="T77" s="268" t="str">
        <f t="shared" si="7"/>
        <v/>
      </c>
      <c r="U77" s="269" t="str">
        <f>IF(OR(M77="a",N77="a"),VLOOKUP("a",'Características dos Cabos'!$D$25:$L$29,3),IF(OR(M77="b",M77="c",N77="b",N77="c"),VLOOKUP("b",'Características dos Cabos'!$D$25:$L$29,3),IF(OR(M77="d",M77="e",N77="d",N77="e"),VLOOKUP("c",'Características dos Cabos'!$D$25:$L$29,3),IF(OR(M77="f",M77="g",M77="h",N77="f",N77="g",N77="h"),VLOOKUP("d",'Características dos Cabos'!$D$25:$L$29,3),IF(OR(M77="i",M77="j",M77="l",M77="m",N77="i",N77="j",N77="l",N77="m"),VLOOKUP("e",'Características dos Cabos'!$D$25:$L$29,3),"")))))</f>
        <v/>
      </c>
      <c r="V77" s="270" t="str">
        <f t="shared" si="15" ref="V77:V108">IF(OR(O77="",$G$16="",H77="",N77=""),"",IF(J77="3",3*$L$12*U77*O77/1000*R77^2*8.76,IF(OR(J77="2",J77="13"),2*$L$12*U77*O77/1000*R77^2*8.76,IF(OR(J77="1",J77="12"),$L$12*U77*O77/1000*R77^2*8.76))))</f>
        <v/>
      </c>
      <c r="W77" s="243"/>
      <c r="X77" s="257">
        <f t="shared" si="8"/>
        <v>0</v>
      </c>
      <c r="Y77" s="257">
        <f t="shared" si="9"/>
        <v>0</v>
      </c>
      <c r="Z77" s="243"/>
    </row>
    <row r="78" spans="1:26" ht="15" customHeight="1">
      <c r="A78" s="639"/>
      <c r="B78" s="642"/>
      <c r="C78" s="27"/>
      <c r="D78" s="23"/>
      <c r="E78" s="38"/>
      <c r="F78" s="92" t="str">
        <f t="shared" si="5"/>
        <v/>
      </c>
      <c r="G78" s="38"/>
      <c r="H78" s="265" t="str">
        <f>IF(AND(E78="",G78=""),"",SUM(F78:G84))</f>
        <v/>
      </c>
      <c r="J78" s="23"/>
      <c r="K78" s="23"/>
      <c r="L78" s="266" t="str">
        <f>IF(OR(J78="",K78=""),"",IF(J78="3",VLOOKUP(M78,'K% (Rede Convencional)'!$B$18:$M$29,8),(IF(J78="2",VLOOKUP(N78,'K% (Rede Convencional)'!$B$18:$M$29,9),(IF(J78="1",VLOOKUP(N78,'K% (Rede Convencional)'!$B$18:$M$29,10),(IF(J78="13",VLOOKUP(N78,'K% (Rede Convencional)'!$B$18:$M$29,11),(IF(J78="12",VLOOKUP(N78,'K% (Rede Convencional)'!$B$18:$M$29,12),0))))))))))</f>
        <v/>
      </c>
      <c r="M78" s="267" t="str">
        <f t="shared" si="6"/>
        <v/>
      </c>
      <c r="N78" s="267" t="str">
        <f>IF(K78="","",IF(K78="4 (4)","a",IF(OR(K78="2 (4)",K78="2 (2)"),VLOOKUP(K78,BT!$AE$21:$AF$22,2,FALSE),IF(OR(K78="1/0 (4)",K78="1/0 (2)"),VLOOKUP(K78,BT!$AE$24:$AF$25,2,FALSE),IF(OR(K78="4/0 (4)",K78="4/0 (2)",K78="4/0 (1/0)"),VLOOKUP(K78,BT!$AE$27:$AF$29,2,FALSE),IF(OR(K78="336,4 (4)",K78="336,4 (2)",K78="336,4 (1/0)",K78="336,4 (4/0)"),VLOOKUP(K78,BT!$AE$31:$AF$34,2,FALSE),0))))))</f>
        <v/>
      </c>
      <c r="O78" s="38"/>
      <c r="P78" s="268" t="str">
        <f t="shared" si="13"/>
        <v/>
      </c>
      <c r="Q78" s="268" t="str">
        <f>IF(P78="","",SUM($P$45:P78)+$W$75)</f>
        <v/>
      </c>
      <c r="R78" s="268" t="str">
        <f t="shared" si="14"/>
        <v/>
      </c>
      <c r="S78" s="269" t="str">
        <f>IF(OR(M78="a",N78="a"),VLOOKUP("a",'Características dos Cabos'!$D$25:$L$29,9),IF(OR(M78="b",M78="c",N78="b",N78="c"),VLOOKUP("b",'Características dos Cabos'!$D$25:$L$29,9),IF(OR(M78="d",M78="e",N78="d",N78="e"),VLOOKUP("c",'Características dos Cabos'!$D$25:$L$29,9),IF(OR(M78="f",M78="g",M78="h",N78="f",N78="g",N78="h"),VLOOKUP("d",'Características dos Cabos'!$D$25:$L$29,9),IF(OR(M78="i",M78="j",M78="l",M78="m",N78="i",N78="j",N78="l",N78="m"),VLOOKUP("e",'Características dos Cabos'!$D$25:$L$29,9),"")))))</f>
        <v/>
      </c>
      <c r="T78" s="268" t="str">
        <f t="shared" si="7"/>
        <v/>
      </c>
      <c r="U78" s="269" t="str">
        <f>IF(OR(M78="a",N78="a"),VLOOKUP("a",'Características dos Cabos'!$D$25:$L$29,3),IF(OR(M78="b",M78="c",N78="b",N78="c"),VLOOKUP("b",'Características dos Cabos'!$D$25:$L$29,3),IF(OR(M78="d",M78="e",N78="d",N78="e"),VLOOKUP("c",'Características dos Cabos'!$D$25:$L$29,3),IF(OR(M78="f",M78="g",M78="h",N78="f",N78="g",N78="h"),VLOOKUP("d",'Características dos Cabos'!$D$25:$L$29,3),IF(OR(M78="i",M78="j",M78="l",M78="m",N78="i",N78="j",N78="l",N78="m"),VLOOKUP("e",'Características dos Cabos'!$D$25:$L$29,3),"")))))</f>
        <v/>
      </c>
      <c r="V78" s="270" t="str">
        <f t="shared" si="15"/>
        <v/>
      </c>
      <c r="W78" s="243"/>
      <c r="X78" s="257">
        <f t="shared" si="8"/>
        <v>0</v>
      </c>
      <c r="Y78" s="257">
        <f t="shared" si="9"/>
        <v>0</v>
      </c>
      <c r="Z78" s="243"/>
    </row>
    <row r="79" spans="1:26" ht="15" customHeight="1">
      <c r="A79" s="639"/>
      <c r="B79" s="642"/>
      <c r="C79" s="27"/>
      <c r="D79" s="23"/>
      <c r="E79" s="38"/>
      <c r="F79" s="92" t="str">
        <f t="shared" si="5"/>
        <v/>
      </c>
      <c r="G79" s="38"/>
      <c r="H79" s="265" t="str">
        <f>IF(AND(E79="",G79=""),"",SUM(F79:G84))</f>
        <v/>
      </c>
      <c r="J79" s="23"/>
      <c r="K79" s="23"/>
      <c r="L79" s="266" t="str">
        <f>IF(OR(J79="",K79=""),"",IF(J79="3",VLOOKUP(M79,'K% (Rede Convencional)'!$B$18:$M$29,8),(IF(J79="2",VLOOKUP(N79,'K% (Rede Convencional)'!$B$18:$M$29,9),(IF(J79="1",VLOOKUP(N79,'K% (Rede Convencional)'!$B$18:$M$29,10),(IF(J79="13",VLOOKUP(N79,'K% (Rede Convencional)'!$B$18:$M$29,11),(IF(J79="12",VLOOKUP(N79,'K% (Rede Convencional)'!$B$18:$M$29,12),0))))))))))</f>
        <v/>
      </c>
      <c r="M79" s="267" t="str">
        <f t="shared" si="6"/>
        <v/>
      </c>
      <c r="N79" s="267" t="str">
        <f>IF(K79="","",IF(K79="4 (4)","a",IF(OR(K79="2 (4)",K79="2 (2)"),VLOOKUP(K79,BT!$AE$21:$AF$22,2,FALSE),IF(OR(K79="1/0 (4)",K79="1/0 (2)"),VLOOKUP(K79,BT!$AE$24:$AF$25,2,FALSE),IF(OR(K79="4/0 (4)",K79="4/0 (2)",K79="4/0 (1/0)"),VLOOKUP(K79,BT!$AE$27:$AF$29,2,FALSE),IF(OR(K79="336,4 (4)",K79="336,4 (2)",K79="336,4 (1/0)",K79="336,4 (4/0)"),VLOOKUP(K79,BT!$AE$31:$AF$34,2,FALSE),0))))))</f>
        <v/>
      </c>
      <c r="O79" s="38"/>
      <c r="P79" s="268" t="str">
        <f t="shared" si="13"/>
        <v/>
      </c>
      <c r="Q79" s="268" t="str">
        <f>IF(P79="","",SUM($P$45:P79)+$W$75)</f>
        <v/>
      </c>
      <c r="R79" s="268" t="str">
        <f t="shared" si="14"/>
        <v/>
      </c>
      <c r="S79" s="269" t="str">
        <f>IF(OR(M79="a",N79="a"),VLOOKUP("a",'Características dos Cabos'!$D$25:$L$29,9),IF(OR(M79="b",M79="c",N79="b",N79="c"),VLOOKUP("b",'Características dos Cabos'!$D$25:$L$29,9),IF(OR(M79="d",M79="e",N79="d",N79="e"),VLOOKUP("c",'Características dos Cabos'!$D$25:$L$29,9),IF(OR(M79="f",M79="g",M79="h",N79="f",N79="g",N79="h"),VLOOKUP("d",'Características dos Cabos'!$D$25:$L$29,9),IF(OR(M79="i",M79="j",M79="l",M79="m",N79="i",N79="j",N79="l",N79="m"),VLOOKUP("e",'Características dos Cabos'!$D$25:$L$29,9),"")))))</f>
        <v/>
      </c>
      <c r="T79" s="268" t="str">
        <f t="shared" si="7"/>
        <v/>
      </c>
      <c r="U79" s="269" t="str">
        <f>IF(OR(M79="a",N79="a"),VLOOKUP("a",'Características dos Cabos'!$D$25:$L$29,3),IF(OR(M79="b",M79="c",N79="b",N79="c"),VLOOKUP("b",'Características dos Cabos'!$D$25:$L$29,3),IF(OR(M79="d",M79="e",N79="d",N79="e"),VLOOKUP("c",'Características dos Cabos'!$D$25:$L$29,3),IF(OR(M79="f",M79="g",M79="h",N79="f",N79="g",N79="h"),VLOOKUP("d",'Características dos Cabos'!$D$25:$L$29,3),IF(OR(M79="i",M79="j",M79="l",M79="m",N79="i",N79="j",N79="l",N79="m"),VLOOKUP("e",'Características dos Cabos'!$D$25:$L$29,3),"")))))</f>
        <v/>
      </c>
      <c r="V79" s="270" t="str">
        <f t="shared" si="15"/>
        <v/>
      </c>
      <c r="W79" s="243"/>
      <c r="X79" s="257">
        <f t="shared" si="8"/>
        <v>0</v>
      </c>
      <c r="Y79" s="257">
        <f t="shared" si="9"/>
        <v>0</v>
      </c>
      <c r="Z79" s="243"/>
    </row>
    <row r="80" spans="1:26" ht="15" customHeight="1">
      <c r="A80" s="639"/>
      <c r="B80" s="642"/>
      <c r="C80" s="27"/>
      <c r="D80" s="23"/>
      <c r="E80" s="38"/>
      <c r="F80" s="92" t="str">
        <f t="shared" si="5"/>
        <v/>
      </c>
      <c r="G80" s="38"/>
      <c r="H80" s="265" t="str">
        <f>IF(AND(E80="",G80=""),"",SUM(F80:G84))</f>
        <v/>
      </c>
      <c r="J80" s="23"/>
      <c r="K80" s="23"/>
      <c r="L80" s="266" t="str">
        <f>IF(OR(J80="",K80=""),"",IF(J80="3",VLOOKUP(M80,'K% (Rede Convencional)'!$B$18:$M$29,8),(IF(J80="2",VLOOKUP(N80,'K% (Rede Convencional)'!$B$18:$M$29,9),(IF(J80="1",VLOOKUP(N80,'K% (Rede Convencional)'!$B$18:$M$29,10),(IF(J80="13",VLOOKUP(N80,'K% (Rede Convencional)'!$B$18:$M$29,11),(IF(J80="12",VLOOKUP(N80,'K% (Rede Convencional)'!$B$18:$M$29,12),0))))))))))</f>
        <v/>
      </c>
      <c r="M80" s="267" t="str">
        <f t="shared" si="6"/>
        <v/>
      </c>
      <c r="N80" s="267" t="str">
        <f>IF(K80="","",IF(K80="4 (4)","a",IF(OR(K80="2 (4)",K80="2 (2)"),VLOOKUP(K80,BT!$AE$21:$AF$22,2,FALSE),IF(OR(K80="1/0 (4)",K80="1/0 (2)"),VLOOKUP(K80,BT!$AE$24:$AF$25,2,FALSE),IF(OR(K80="4/0 (4)",K80="4/0 (2)",K80="4/0 (1/0)"),VLOOKUP(K80,BT!$AE$27:$AF$29,2,FALSE),IF(OR(K80="336,4 (4)",K80="336,4 (2)",K80="336,4 (1/0)",K80="336,4 (4/0)"),VLOOKUP(K80,BT!$AE$31:$AF$34,2,FALSE),0))))))</f>
        <v/>
      </c>
      <c r="O80" s="38"/>
      <c r="P80" s="268" t="str">
        <f t="shared" si="13"/>
        <v/>
      </c>
      <c r="Q80" s="268" t="str">
        <f>IF(P80="","",SUM($P$45:P80)+$W$75)</f>
        <v/>
      </c>
      <c r="R80" s="268" t="str">
        <f t="shared" si="14"/>
        <v/>
      </c>
      <c r="S80" s="269" t="str">
        <f>IF(OR(M80="a",N80="a"),VLOOKUP("a",'Características dos Cabos'!$D$25:$L$29,9),IF(OR(M80="b",M80="c",N80="b",N80="c"),VLOOKUP("b",'Características dos Cabos'!$D$25:$L$29,9),IF(OR(M80="d",M80="e",N80="d",N80="e"),VLOOKUP("c",'Características dos Cabos'!$D$25:$L$29,9),IF(OR(M80="f",M80="g",M80="h",N80="f",N80="g",N80="h"),VLOOKUP("d",'Características dos Cabos'!$D$25:$L$29,9),IF(OR(M80="i",M80="j",M80="l",M80="m",N80="i",N80="j",N80="l",N80="m"),VLOOKUP("e",'Características dos Cabos'!$D$25:$L$29,9),"")))))</f>
        <v/>
      </c>
      <c r="T80" s="268" t="str">
        <f t="shared" si="7"/>
        <v/>
      </c>
      <c r="U80" s="269" t="str">
        <f>IF(OR(M80="a",N80="a"),VLOOKUP("a",'Características dos Cabos'!$D$25:$L$29,3),IF(OR(M80="b",M80="c",N80="b",N80="c"),VLOOKUP("b",'Características dos Cabos'!$D$25:$L$29,3),IF(OR(M80="d",M80="e",N80="d",N80="e"),VLOOKUP("c",'Características dos Cabos'!$D$25:$L$29,3),IF(OR(M80="f",M80="g",M80="h",N80="f",N80="g",N80="h"),VLOOKUP("d",'Características dos Cabos'!$D$25:$L$29,3),IF(OR(M80="i",M80="j",M80="l",M80="m",N80="i",N80="j",N80="l",N80="m"),VLOOKUP("e",'Características dos Cabos'!$D$25:$L$29,3),"")))))</f>
        <v/>
      </c>
      <c r="V80" s="270" t="str">
        <f t="shared" si="15"/>
        <v/>
      </c>
      <c r="W80" s="243"/>
      <c r="X80" s="257">
        <f t="shared" si="8"/>
        <v>0</v>
      </c>
      <c r="Y80" s="257">
        <f t="shared" si="9"/>
        <v>0</v>
      </c>
      <c r="Z80" s="243"/>
    </row>
    <row r="81" spans="1:26" ht="15" customHeight="1">
      <c r="A81" s="639"/>
      <c r="B81" s="642"/>
      <c r="C81" s="27"/>
      <c r="D81" s="23"/>
      <c r="E81" s="38"/>
      <c r="F81" s="92" t="str">
        <f t="shared" si="5"/>
        <v/>
      </c>
      <c r="G81" s="38"/>
      <c r="H81" s="265" t="str">
        <f>IF(AND(E81="",G81=""),"",SUM(F81:G84))</f>
        <v/>
      </c>
      <c r="J81" s="23"/>
      <c r="K81" s="23"/>
      <c r="L81" s="266" t="str">
        <f>IF(OR(J81="",K81=""),"",IF(J81="3",VLOOKUP(M81,'K% (Rede Convencional)'!$B$18:$M$29,8),(IF(J81="2",VLOOKUP(N81,'K% (Rede Convencional)'!$B$18:$M$29,9),(IF(J81="1",VLOOKUP(N81,'K% (Rede Convencional)'!$B$18:$M$29,10),(IF(J81="13",VLOOKUP(N81,'K% (Rede Convencional)'!$B$18:$M$29,11),(IF(J81="12",VLOOKUP(N81,'K% (Rede Convencional)'!$B$18:$M$29,12),0))))))))))</f>
        <v/>
      </c>
      <c r="M81" s="267" t="str">
        <f t="shared" si="6"/>
        <v/>
      </c>
      <c r="N81" s="267" t="str">
        <f>IF(K81="","",IF(K81="4 (4)","a",IF(OR(K81="2 (4)",K81="2 (2)"),VLOOKUP(K81,BT!$AE$21:$AF$22,2,FALSE),IF(OR(K81="1/0 (4)",K81="1/0 (2)"),VLOOKUP(K81,BT!$AE$24:$AF$25,2,FALSE),IF(OR(K81="4/0 (4)",K81="4/0 (2)",K81="4/0 (1/0)"),VLOOKUP(K81,BT!$AE$27:$AF$29,2,FALSE),IF(OR(K81="336,4 (4)",K81="336,4 (2)",K81="336,4 (1/0)",K81="336,4 (4/0)"),VLOOKUP(K81,BT!$AE$31:$AF$34,2,FALSE),0))))))</f>
        <v/>
      </c>
      <c r="O81" s="38"/>
      <c r="P81" s="268" t="str">
        <f t="shared" si="13"/>
        <v/>
      </c>
      <c r="Q81" s="268" t="str">
        <f>IF(P81="","",SUM($P$45:P81)+$W$75)</f>
        <v/>
      </c>
      <c r="R81" s="268" t="str">
        <f t="shared" si="14"/>
        <v/>
      </c>
      <c r="S81" s="269" t="str">
        <f>IF(OR(M81="a",N81="a"),VLOOKUP("a",'Características dos Cabos'!$D$25:$L$29,9),IF(OR(M81="b",M81="c",N81="b",N81="c"),VLOOKUP("b",'Características dos Cabos'!$D$25:$L$29,9),IF(OR(M81="d",M81="e",N81="d",N81="e"),VLOOKUP("c",'Características dos Cabos'!$D$25:$L$29,9),IF(OR(M81="f",M81="g",M81="h",N81="f",N81="g",N81="h"),VLOOKUP("d",'Características dos Cabos'!$D$25:$L$29,9),IF(OR(M81="i",M81="j",M81="l",M81="m",N81="i",N81="j",N81="l",N81="m"),VLOOKUP("e",'Características dos Cabos'!$D$25:$L$29,9),"")))))</f>
        <v/>
      </c>
      <c r="T81" s="268" t="str">
        <f t="shared" si="7"/>
        <v/>
      </c>
      <c r="U81" s="269" t="str">
        <f>IF(OR(M81="a",N81="a"),VLOOKUP("a",'Características dos Cabos'!$D$25:$L$29,3),IF(OR(M81="b",M81="c",N81="b",N81="c"),VLOOKUP("b",'Características dos Cabos'!$D$25:$L$29,3),IF(OR(M81="d",M81="e",N81="d",N81="e"),VLOOKUP("c",'Características dos Cabos'!$D$25:$L$29,3),IF(OR(M81="f",M81="g",M81="h",N81="f",N81="g",N81="h"),VLOOKUP("d",'Características dos Cabos'!$D$25:$L$29,3),IF(OR(M81="i",M81="j",M81="l",M81="m",N81="i",N81="j",N81="l",N81="m"),VLOOKUP("e",'Características dos Cabos'!$D$25:$L$29,3),"")))))</f>
        <v/>
      </c>
      <c r="V81" s="270" t="str">
        <f t="shared" si="15"/>
        <v/>
      </c>
      <c r="W81" s="243"/>
      <c r="X81" s="257">
        <f t="shared" si="8"/>
        <v>0</v>
      </c>
      <c r="Y81" s="257">
        <f t="shared" si="9"/>
        <v>0</v>
      </c>
      <c r="Z81" s="243"/>
    </row>
    <row r="82" spans="1:26" ht="15" customHeight="1">
      <c r="A82" s="639"/>
      <c r="B82" s="642"/>
      <c r="C82" s="27"/>
      <c r="D82" s="23"/>
      <c r="E82" s="38"/>
      <c r="F82" s="92" t="str">
        <f t="shared" si="5"/>
        <v/>
      </c>
      <c r="G82" s="38"/>
      <c r="H82" s="265" t="str">
        <f>IF(AND(E82="",G82=""),"",SUM(F82:G84))</f>
        <v/>
      </c>
      <c r="J82" s="23"/>
      <c r="K82" s="23"/>
      <c r="L82" s="266" t="str">
        <f>IF(OR(J82="",K82=""),"",IF(J82="3",VLOOKUP(M82,'K% (Rede Convencional)'!$B$18:$M$29,8),(IF(J82="2",VLOOKUP(N82,'K% (Rede Convencional)'!$B$18:$M$29,9),(IF(J82="1",VLOOKUP(N82,'K% (Rede Convencional)'!$B$18:$M$29,10),(IF(J82="13",VLOOKUP(N82,'K% (Rede Convencional)'!$B$18:$M$29,11),(IF(J82="12",VLOOKUP(N82,'K% (Rede Convencional)'!$B$18:$M$29,12),0))))))))))</f>
        <v/>
      </c>
      <c r="M82" s="267" t="str">
        <f t="shared" si="6"/>
        <v/>
      </c>
      <c r="N82" s="267" t="str">
        <f>IF(K82="","",IF(K82="4 (4)","a",IF(OR(K82="2 (4)",K82="2 (2)"),VLOOKUP(K82,BT!$AE$21:$AF$22,2,FALSE),IF(OR(K82="1/0 (4)",K82="1/0 (2)"),VLOOKUP(K82,BT!$AE$24:$AF$25,2,FALSE),IF(OR(K82="4/0 (4)",K82="4/0 (2)",K82="4/0 (1/0)"),VLOOKUP(K82,BT!$AE$27:$AF$29,2,FALSE),IF(OR(K82="336,4 (4)",K82="336,4 (2)",K82="336,4 (1/0)",K82="336,4 (4/0)"),VLOOKUP(K82,BT!$AE$31:$AF$34,2,FALSE),0))))))</f>
        <v/>
      </c>
      <c r="O82" s="38"/>
      <c r="P82" s="268" t="str">
        <f t="shared" si="13"/>
        <v/>
      </c>
      <c r="Q82" s="268" t="str">
        <f>IF(P82="","",SUM($P$45:P82)+$W$75)</f>
        <v/>
      </c>
      <c r="R82" s="268" t="str">
        <f t="shared" si="14"/>
        <v/>
      </c>
      <c r="S82" s="269" t="str">
        <f>IF(OR(M82="a",N82="a"),VLOOKUP("a",'Características dos Cabos'!$D$25:$L$29,9),IF(OR(M82="b",M82="c",N82="b",N82="c"),VLOOKUP("b",'Características dos Cabos'!$D$25:$L$29,9),IF(OR(M82="d",M82="e",N82="d",N82="e"),VLOOKUP("c",'Características dos Cabos'!$D$25:$L$29,9),IF(OR(M82="f",M82="g",M82="h",N82="f",N82="g",N82="h"),VLOOKUP("d",'Características dos Cabos'!$D$25:$L$29,9),IF(OR(M82="i",M82="j",M82="l",M82="m",N82="i",N82="j",N82="l",N82="m"),VLOOKUP("e",'Características dos Cabos'!$D$25:$L$29,9),"")))))</f>
        <v/>
      </c>
      <c r="T82" s="268" t="str">
        <f t="shared" si="7"/>
        <v/>
      </c>
      <c r="U82" s="269" t="str">
        <f>IF(OR(M82="a",N82="a"),VLOOKUP("a",'Características dos Cabos'!$D$25:$L$29,3),IF(OR(M82="b",M82="c",N82="b",N82="c"),VLOOKUP("b",'Características dos Cabos'!$D$25:$L$29,3),IF(OR(M82="d",M82="e",N82="d",N82="e"),VLOOKUP("c",'Características dos Cabos'!$D$25:$L$29,3),IF(OR(M82="f",M82="g",M82="h",N82="f",N82="g",N82="h"),VLOOKUP("d",'Características dos Cabos'!$D$25:$L$29,3),IF(OR(M82="i",M82="j",M82="l",M82="m",N82="i",N82="j",N82="l",N82="m"),VLOOKUP("e",'Características dos Cabos'!$D$25:$L$29,3),"")))))</f>
        <v/>
      </c>
      <c r="V82" s="270" t="str">
        <f t="shared" si="15"/>
        <v/>
      </c>
      <c r="W82" s="243"/>
      <c r="X82" s="257">
        <f t="shared" si="8"/>
        <v>0</v>
      </c>
      <c r="Y82" s="257">
        <f t="shared" si="9"/>
        <v>0</v>
      </c>
      <c r="Z82" s="243"/>
    </row>
    <row r="83" spans="1:26" ht="15" customHeight="1">
      <c r="A83" s="639"/>
      <c r="B83" s="642"/>
      <c r="C83" s="27"/>
      <c r="D83" s="23"/>
      <c r="E83" s="38"/>
      <c r="F83" s="92" t="str">
        <f t="shared" si="5"/>
        <v/>
      </c>
      <c r="G83" s="38"/>
      <c r="H83" s="265" t="str">
        <f>IF(AND(E83="",G83=""),"",SUM(F83:G84))</f>
        <v/>
      </c>
      <c r="J83" s="23"/>
      <c r="K83" s="23"/>
      <c r="L83" s="266" t="str">
        <f>IF(OR(J83="",K83=""),"",IF(J83="3",VLOOKUP(M83,'K% (Rede Convencional)'!$B$18:$M$29,8),(IF(J83="2",VLOOKUP(N83,'K% (Rede Convencional)'!$B$18:$M$29,9),(IF(J83="1",VLOOKUP(N83,'K% (Rede Convencional)'!$B$18:$M$29,10),(IF(J83="13",VLOOKUP(N83,'K% (Rede Convencional)'!$B$18:$M$29,11),(IF(J83="12",VLOOKUP(N83,'K% (Rede Convencional)'!$B$18:$M$29,12),0))))))))))</f>
        <v/>
      </c>
      <c r="M83" s="267" t="str">
        <f t="shared" si="6"/>
        <v/>
      </c>
      <c r="N83" s="267" t="str">
        <f>IF(K83="","",IF(K83="4 (4)","a",IF(OR(K83="2 (4)",K83="2 (2)"),VLOOKUP(K83,BT!$AE$21:$AF$22,2,FALSE),IF(OR(K83="1/0 (4)",K83="1/0 (2)"),VLOOKUP(K83,BT!$AE$24:$AF$25,2,FALSE),IF(OR(K83="4/0 (4)",K83="4/0 (2)",K83="4/0 (1/0)"),VLOOKUP(K83,BT!$AE$27:$AF$29,2,FALSE),IF(OR(K83="336,4 (4)",K83="336,4 (2)",K83="336,4 (1/0)",K83="336,4 (4/0)"),VLOOKUP(K83,BT!$AE$31:$AF$34,2,FALSE),0))))))</f>
        <v/>
      </c>
      <c r="O83" s="38"/>
      <c r="P83" s="268" t="str">
        <f t="shared" si="13"/>
        <v/>
      </c>
      <c r="Q83" s="268" t="str">
        <f>IF(P83="","",SUM($P$45:P83)+$W$75)</f>
        <v/>
      </c>
      <c r="R83" s="268" t="str">
        <f t="shared" si="14"/>
        <v/>
      </c>
      <c r="S83" s="269" t="str">
        <f>IF(OR(M83="a",N83="a"),VLOOKUP("a",'Características dos Cabos'!$D$25:$L$29,9),IF(OR(M83="b",M83="c",N83="b",N83="c"),VLOOKUP("b",'Características dos Cabos'!$D$25:$L$29,9),IF(OR(M83="d",M83="e",N83="d",N83="e"),VLOOKUP("c",'Características dos Cabos'!$D$25:$L$29,9),IF(OR(M83="f",M83="g",M83="h",N83="f",N83="g",N83="h"),VLOOKUP("d",'Características dos Cabos'!$D$25:$L$29,9),IF(OR(M83="i",M83="j",M83="l",M83="m",N83="i",N83="j",N83="l",N83="m"),VLOOKUP("e",'Características dos Cabos'!$D$25:$L$29,9),"")))))</f>
        <v/>
      </c>
      <c r="T83" s="268" t="str">
        <f t="shared" si="7"/>
        <v/>
      </c>
      <c r="U83" s="269" t="str">
        <f>IF(OR(M83="a",N83="a"),VLOOKUP("a",'Características dos Cabos'!$D$25:$L$29,3),IF(OR(M83="b",M83="c",N83="b",N83="c"),VLOOKUP("b",'Características dos Cabos'!$D$25:$L$29,3),IF(OR(M83="d",M83="e",N83="d",N83="e"),VLOOKUP("c",'Características dos Cabos'!$D$25:$L$29,3),IF(OR(M83="f",M83="g",M83="h",N83="f",N83="g",N83="h"),VLOOKUP("d",'Características dos Cabos'!$D$25:$L$29,3),IF(OR(M83="i",M83="j",M83="l",M83="m",N83="i",N83="j",N83="l",N83="m"),VLOOKUP("e",'Características dos Cabos'!$D$25:$L$29,3),"")))))</f>
        <v/>
      </c>
      <c r="V83" s="270" t="str">
        <f t="shared" si="15"/>
        <v/>
      </c>
      <c r="W83" s="243"/>
      <c r="X83" s="257">
        <f t="shared" si="8"/>
        <v>0</v>
      </c>
      <c r="Y83" s="257">
        <f t="shared" si="9"/>
        <v>0</v>
      </c>
      <c r="Z83" s="243"/>
    </row>
    <row r="84" spans="1:26" ht="15" customHeight="1" thickBot="1">
      <c r="A84" s="639"/>
      <c r="B84" s="643"/>
      <c r="C84" s="45"/>
      <c r="D84" s="46"/>
      <c r="E84" s="47"/>
      <c r="F84" s="54" t="str">
        <f t="shared" si="5"/>
        <v/>
      </c>
      <c r="G84" s="47"/>
      <c r="H84" s="271" t="str">
        <f>IF(AND(E84="",G84=""),"",SUM(F84:G84))</f>
        <v/>
      </c>
      <c r="J84" s="46"/>
      <c r="K84" s="46"/>
      <c r="L84" s="272" t="str">
        <f>IF(OR(J84="",K84=""),"",IF(J84="3",VLOOKUP(M84,'K% (Rede Convencional)'!$B$18:$M$29,8),(IF(J84="2",VLOOKUP(N84,'K% (Rede Convencional)'!$B$18:$M$29,9),(IF(J84="1",VLOOKUP(N84,'K% (Rede Convencional)'!$B$18:$M$29,10),(IF(J84="13",VLOOKUP(N84,'K% (Rede Convencional)'!$B$18:$M$29,11),(IF(J84="12",VLOOKUP(N84,'K% (Rede Convencional)'!$B$18:$M$29,12),0))))))))))</f>
        <v/>
      </c>
      <c r="M84" s="273" t="str">
        <f t="shared" si="6"/>
        <v/>
      </c>
      <c r="N84" s="273" t="str">
        <f>IF(K84="","",IF(K84="4 (4)","a",IF(OR(K84="2 (4)",K84="2 (2)"),VLOOKUP(K84,BT!$AE$21:$AF$22,2,FALSE),IF(OR(K84="1/0 (4)",K84="1/0 (2)"),VLOOKUP(K84,BT!$AE$24:$AF$25,2,FALSE),IF(OR(K84="4/0 (4)",K84="4/0 (2)",K84="4/0 (1/0)"),VLOOKUP(K84,BT!$AE$27:$AF$29,2,FALSE),IF(OR(K84="336,4 (4)",K84="336,4 (2)",K84="336,4 (1/0)",K84="336,4 (4/0)"),VLOOKUP(K84,BT!$AE$31:$AF$34,2,FALSE),0))))))</f>
        <v/>
      </c>
      <c r="O84" s="47"/>
      <c r="P84" s="274" t="str">
        <f t="shared" si="13"/>
        <v/>
      </c>
      <c r="Q84" s="274" t="str">
        <f>IF(P84="","",SUM($P$45:P84)+$W$75)</f>
        <v/>
      </c>
      <c r="R84" s="274" t="str">
        <f t="shared" si="14"/>
        <v/>
      </c>
      <c r="S84" s="275" t="str">
        <f>IF(OR(M84="a",N84="a"),VLOOKUP("a",'Características dos Cabos'!$D$25:$L$29,9),IF(OR(M84="b",M84="c",N84="b",N84="c"),VLOOKUP("b",'Características dos Cabos'!$D$25:$L$29,9),IF(OR(M84="d",M84="e",N84="d",N84="e"),VLOOKUP("c",'Características dos Cabos'!$D$25:$L$29,9),IF(OR(M84="f",M84="g",M84="h",N84="f",N84="g",N84="h"),VLOOKUP("d",'Características dos Cabos'!$D$25:$L$29,9),IF(OR(M84="i",M84="j",M84="l",M84="m",N84="i",N84="j",N84="l",N84="m"),VLOOKUP("e",'Características dos Cabos'!$D$25:$L$29,9),"")))))</f>
        <v/>
      </c>
      <c r="T84" s="274" t="str">
        <f t="shared" si="7"/>
        <v/>
      </c>
      <c r="U84" s="275" t="str">
        <f>IF(OR(M84="a",N84="a"),VLOOKUP("a",'Características dos Cabos'!$D$25:$L$29,3),IF(OR(M84="b",M84="c",N84="b",N84="c"),VLOOKUP("b",'Características dos Cabos'!$D$25:$L$29,3),IF(OR(M84="d",M84="e",N84="d",N84="e"),VLOOKUP("c",'Características dos Cabos'!$D$25:$L$29,3),IF(OR(M84="f",M84="g",M84="h",N84="f",N84="g",N84="h"),VLOOKUP("d",'Características dos Cabos'!$D$25:$L$29,3),IF(OR(M84="i",M84="j",M84="l",M84="m",N84="i",N84="j",N84="l",N84="m"),VLOOKUP("e",'Características dos Cabos'!$D$25:$L$29,3),"")))))</f>
        <v/>
      </c>
      <c r="V84" s="276" t="str">
        <f t="shared" si="15"/>
        <v/>
      </c>
      <c r="W84" s="243"/>
      <c r="X84" s="257">
        <f t="shared" si="8"/>
        <v>0</v>
      </c>
      <c r="Y84" s="257">
        <f t="shared" si="9"/>
        <v>0</v>
      </c>
      <c r="Z84" s="243"/>
    </row>
    <row r="85" spans="1:26" ht="15" customHeight="1" thickTop="1">
      <c r="A85" s="639"/>
      <c r="B85" s="641" t="str">
        <f>CONCATENATE("Ramal 5 - Derivando no ponto ",C85)</f>
        <v xml:space="preserve">Ramal 5 - Derivando no ponto </v>
      </c>
      <c r="C85" s="26"/>
      <c r="D85" s="25"/>
      <c r="E85" s="37"/>
      <c r="F85" s="92" t="str">
        <f t="shared" si="5"/>
        <v/>
      </c>
      <c r="G85" s="37"/>
      <c r="H85" s="278" t="str">
        <f>IF(AND(E85="",G85=""),"",SUM(F85:G94))</f>
        <v/>
      </c>
      <c r="J85" s="25"/>
      <c r="K85" s="25"/>
      <c r="L85" s="279" t="str">
        <f>IF(OR(J85="",K85=""),"",IF(J85="3",VLOOKUP(M85,'K% (Rede Convencional)'!$B$18:$M$29,8),(IF(J85="2",VLOOKUP(N85,'K% (Rede Convencional)'!$B$18:$M$29,9),(IF(J85="1",VLOOKUP(N85,'K% (Rede Convencional)'!$B$18:$M$29,10),(IF(J85="13",VLOOKUP(N85,'K% (Rede Convencional)'!$B$18:$M$29,11),(IF(J85="12",VLOOKUP(N85,'K% (Rede Convencional)'!$B$18:$M$29,12),0))))))))))</f>
        <v/>
      </c>
      <c r="M85" s="253" t="str">
        <f t="shared" si="6"/>
        <v/>
      </c>
      <c r="N85" s="253" t="str">
        <f>IF(K85="","",IF(K85="4 (4)","a",IF(OR(K85="2 (4)",K85="2 (2)"),VLOOKUP(K85,BT!$AE$21:$AF$22,2,FALSE),IF(OR(K85="1/0 (4)",K85="1/0 (2)"),VLOOKUP(K85,BT!$AE$24:$AF$25,2,FALSE),IF(OR(K85="4/0 (4)",K85="4/0 (2)",K85="4/0 (1/0)"),VLOOKUP(K85,BT!$AE$27:$AF$29,2,FALSE),IF(OR(K85="336,4 (4)",K85="336,4 (2)",K85="336,4 (1/0)",K85="336,4 (4/0)"),VLOOKUP(K85,BT!$AE$31:$AF$34,2,FALSE),0))))))</f>
        <v/>
      </c>
      <c r="O85" s="37"/>
      <c r="P85" s="280" t="str">
        <f t="shared" si="13"/>
        <v/>
      </c>
      <c r="Q85" s="280" t="str">
        <f>IF(P85="","",P85+VLOOKUP(C85,$D$21:$Q$43,13,FALSE))</f>
        <v/>
      </c>
      <c r="R85" s="280" t="str">
        <f t="shared" si="14"/>
        <v/>
      </c>
      <c r="S85" s="281" t="str">
        <f>IF(OR(M85="a",N85="a"),VLOOKUP("a",'Características dos Cabos'!$D$25:$L$29,9),IF(OR(M85="b",M85="c",N85="b",N85="c"),VLOOKUP("b",'Características dos Cabos'!$D$25:$L$29,9),IF(OR(M85="d",M85="e",N85="d",N85="e"),VLOOKUP("c",'Características dos Cabos'!$D$25:$L$29,9),IF(OR(M85="f",M85="g",M85="h",N85="f",N85="g",N85="h"),VLOOKUP("d",'Características dos Cabos'!$D$25:$L$29,9),IF(OR(M85="i",M85="j",M85="l",M85="m",N85="i",N85="j",N85="l",N85="m"),VLOOKUP("e",'Características dos Cabos'!$D$25:$L$29,9),"")))))</f>
        <v/>
      </c>
      <c r="T85" s="280" t="str">
        <f t="shared" si="7"/>
        <v/>
      </c>
      <c r="U85" s="281" t="str">
        <f>IF(OR(M85="a",N85="a"),VLOOKUP("a",'Características dos Cabos'!$D$25:$L$29,3),IF(OR(M85="b",M85="c",N85="b",N85="c"),VLOOKUP("b",'Características dos Cabos'!$D$25:$L$29,3),IF(OR(M85="d",M85="e",N85="d",N85="e"),VLOOKUP("c",'Características dos Cabos'!$D$25:$L$29,3),IF(OR(M85="f",M85="g",M85="h",N85="f",N85="g",N85="h"),VLOOKUP("d",'Características dos Cabos'!$D$25:$L$29,3),IF(OR(M85="i",M85="j",M85="l",M85="m",N85="i",N85="j",N85="l",N85="m"),VLOOKUP("e",'Características dos Cabos'!$D$25:$L$29,3),"")))))</f>
        <v/>
      </c>
      <c r="V85" s="282" t="str">
        <f t="shared" si="15"/>
        <v/>
      </c>
      <c r="W85" s="445" t="e">
        <f>VLOOKUP(C85,$D$21:$Q$43,12,FALSE)</f>
        <v>#N/A</v>
      </c>
      <c r="X85" s="257">
        <f t="shared" si="8"/>
        <v>0</v>
      </c>
      <c r="Y85" s="257">
        <f t="shared" si="9"/>
        <v>0</v>
      </c>
      <c r="Z85" s="243"/>
    </row>
    <row r="86" spans="1:26" ht="15" customHeight="1">
      <c r="A86" s="639"/>
      <c r="B86" s="642"/>
      <c r="C86" s="27"/>
      <c r="D86" s="23"/>
      <c r="E86" s="38"/>
      <c r="F86" s="92" t="str">
        <f t="shared" si="16" ref="F86:F149">IF(OR(E86="",$G$12=""),"",E86*$G$12*($J$12/100+1)^($J$16-1))</f>
        <v/>
      </c>
      <c r="G86" s="38"/>
      <c r="H86" s="265" t="str">
        <f>IF(AND(E86="",G86=""),"",SUM(F86:G94))</f>
        <v/>
      </c>
      <c r="J86" s="23"/>
      <c r="K86" s="23"/>
      <c r="L86" s="266" t="str">
        <f>IF(OR(J86="",K86=""),"",IF(J86="3",VLOOKUP(M86,'K% (Rede Convencional)'!$B$18:$M$29,8),(IF(J86="2",VLOOKUP(N86,'K% (Rede Convencional)'!$B$18:$M$29,9),(IF(J86="1",VLOOKUP(N86,'K% (Rede Convencional)'!$B$18:$M$29,10),(IF(J86="13",VLOOKUP(N86,'K% (Rede Convencional)'!$B$18:$M$29,11),(IF(J86="12",VLOOKUP(N86,'K% (Rede Convencional)'!$B$18:$M$29,12),0))))))))))</f>
        <v/>
      </c>
      <c r="M86" s="267" t="str">
        <f t="shared" si="17" ref="M86:M124">IF(K86="4","a",IF(K86="2","b",IF(K86="1/0","d",IF(K86="4/0","f",IF(K86="336,4","i","")))))</f>
        <v/>
      </c>
      <c r="N86" s="267" t="str">
        <f>IF(K86="","",IF(K86="4 (4)","a",IF(OR(K86="2 (4)",K86="2 (2)"),VLOOKUP(K86,BT!$AE$21:$AF$22,2,FALSE),IF(OR(K86="1/0 (4)",K86="1/0 (2)"),VLOOKUP(K86,BT!$AE$24:$AF$25,2,FALSE),IF(OR(K86="4/0 (4)",K86="4/0 (2)",K86="4/0 (1/0)"),VLOOKUP(K86,BT!$AE$27:$AF$29,2,FALSE),IF(OR(K86="336,4 (4)",K86="336,4 (2)",K86="336,4 (1/0)",K86="336,4 (4/0)"),VLOOKUP(K86,BT!$AE$31:$AF$34,2,FALSE),0))))))</f>
        <v/>
      </c>
      <c r="O86" s="38"/>
      <c r="P86" s="268" t="str">
        <f t="shared" si="13"/>
        <v/>
      </c>
      <c r="Q86" s="268" t="str">
        <f>IF(P86="","",SUM($P$45:P86)+$W$85)</f>
        <v/>
      </c>
      <c r="R86" s="268" t="str">
        <f t="shared" si="14"/>
        <v/>
      </c>
      <c r="S86" s="269" t="str">
        <f>IF(OR(M86="a",N86="a"),VLOOKUP("a",'Características dos Cabos'!$D$25:$L$29,9),IF(OR(M86="b",M86="c",N86="b",N86="c"),VLOOKUP("b",'Características dos Cabos'!$D$25:$L$29,9),IF(OR(M86="d",M86="e",N86="d",N86="e"),VLOOKUP("c",'Características dos Cabos'!$D$25:$L$29,9),IF(OR(M86="f",M86="g",M86="h",N86="f",N86="g",N86="h"),VLOOKUP("d",'Características dos Cabos'!$D$25:$L$29,9),IF(OR(M86="i",M86="j",M86="l",M86="m",N86="i",N86="j",N86="l",N86="m"),VLOOKUP("e",'Características dos Cabos'!$D$25:$L$29,9),"")))))</f>
        <v/>
      </c>
      <c r="T86" s="268" t="str">
        <f t="shared" si="18" ref="T86:T124">IF(S86="","",R86*100/S86)</f>
        <v/>
      </c>
      <c r="U86" s="269" t="str">
        <f>IF(OR(M86="a",N86="a"),VLOOKUP("a",'Características dos Cabos'!$D$25:$L$29,3),IF(OR(M86="b",M86="c",N86="b",N86="c"),VLOOKUP("b",'Características dos Cabos'!$D$25:$L$29,3),IF(OR(M86="d",M86="e",N86="d",N86="e"),VLOOKUP("c",'Características dos Cabos'!$D$25:$L$29,3),IF(OR(M86="f",M86="g",M86="h",N86="f",N86="g",N86="h"),VLOOKUP("d",'Características dos Cabos'!$D$25:$L$29,3),IF(OR(M86="i",M86="j",M86="l",M86="m",N86="i",N86="j",N86="l",N86="m"),VLOOKUP("e",'Características dos Cabos'!$D$25:$L$29,3),"")))))</f>
        <v/>
      </c>
      <c r="V86" s="270" t="str">
        <f t="shared" si="15"/>
        <v/>
      </c>
      <c r="W86" s="243"/>
      <c r="X86" s="257">
        <f t="shared" si="19" ref="X86:X124">D86</f>
        <v>0</v>
      </c>
      <c r="Y86" s="257">
        <f t="shared" si="20" ref="Y86:Y124">K86</f>
        <v>0</v>
      </c>
      <c r="Z86" s="243"/>
    </row>
    <row r="87" spans="1:26" ht="15" customHeight="1">
      <c r="A87" s="639"/>
      <c r="B87" s="642"/>
      <c r="C87" s="27"/>
      <c r="D87" s="23"/>
      <c r="E87" s="38"/>
      <c r="F87" s="92" t="str">
        <f t="shared" si="16"/>
        <v/>
      </c>
      <c r="G87" s="38"/>
      <c r="H87" s="265" t="str">
        <f>IF(AND(E87="",G87=""),"",SUM(F87:G94))</f>
        <v/>
      </c>
      <c r="J87" s="23"/>
      <c r="K87" s="23"/>
      <c r="L87" s="266" t="str">
        <f>IF(OR(J87="",K87=""),"",IF(J87="3",VLOOKUP(M87,'K% (Rede Convencional)'!$B$18:$M$29,8),(IF(J87="2",VLOOKUP(N87,'K% (Rede Convencional)'!$B$18:$M$29,9),(IF(J87="1",VLOOKUP(N87,'K% (Rede Convencional)'!$B$18:$M$29,10),(IF(J87="13",VLOOKUP(N87,'K% (Rede Convencional)'!$B$18:$M$29,11),(IF(J87="12",VLOOKUP(N87,'K% (Rede Convencional)'!$B$18:$M$29,12),0))))))))))</f>
        <v/>
      </c>
      <c r="M87" s="267" t="str">
        <f t="shared" si="17"/>
        <v/>
      </c>
      <c r="N87" s="267" t="str">
        <f>IF(K87="","",IF(K87="4 (4)","a",IF(OR(K87="2 (4)",K87="2 (2)"),VLOOKUP(K87,BT!$AE$21:$AF$22,2,FALSE),IF(OR(K87="1/0 (4)",K87="1/0 (2)"),VLOOKUP(K87,BT!$AE$24:$AF$25,2,FALSE),IF(OR(K87="4/0 (4)",K87="4/0 (2)",K87="4/0 (1/0)"),VLOOKUP(K87,BT!$AE$27:$AF$29,2,FALSE),IF(OR(K87="336,4 (4)",K87="336,4 (2)",K87="336,4 (1/0)",K87="336,4 (4/0)"),VLOOKUP(K87,BT!$AE$31:$AF$34,2,FALSE),0))))))</f>
        <v/>
      </c>
      <c r="O87" s="38"/>
      <c r="P87" s="268" t="str">
        <f t="shared" si="13"/>
        <v/>
      </c>
      <c r="Q87" s="268" t="str">
        <f>IF(P87="","",SUM($P$45:P87)+$W$85)</f>
        <v/>
      </c>
      <c r="R87" s="268" t="str">
        <f t="shared" si="14"/>
        <v/>
      </c>
      <c r="S87" s="269" t="str">
        <f>IF(OR(M87="a",N87="a"),VLOOKUP("a",'Características dos Cabos'!$D$25:$L$29,9),IF(OR(M87="b",M87="c",N87="b",N87="c"),VLOOKUP("b",'Características dos Cabos'!$D$25:$L$29,9),IF(OR(M87="d",M87="e",N87="d",N87="e"),VLOOKUP("c",'Características dos Cabos'!$D$25:$L$29,9),IF(OR(M87="f",M87="g",M87="h",N87="f",N87="g",N87="h"),VLOOKUP("d",'Características dos Cabos'!$D$25:$L$29,9),IF(OR(M87="i",M87="j",M87="l",M87="m",N87="i",N87="j",N87="l",N87="m"),VLOOKUP("e",'Características dos Cabos'!$D$25:$L$29,9),"")))))</f>
        <v/>
      </c>
      <c r="T87" s="268" t="str">
        <f t="shared" si="18"/>
        <v/>
      </c>
      <c r="U87" s="269" t="str">
        <f>IF(OR(M87="a",N87="a"),VLOOKUP("a",'Características dos Cabos'!$D$25:$L$29,3),IF(OR(M87="b",M87="c",N87="b",N87="c"),VLOOKUP("b",'Características dos Cabos'!$D$25:$L$29,3),IF(OR(M87="d",M87="e",N87="d",N87="e"),VLOOKUP("c",'Características dos Cabos'!$D$25:$L$29,3),IF(OR(M87="f",M87="g",M87="h",N87="f",N87="g",N87="h"),VLOOKUP("d",'Características dos Cabos'!$D$25:$L$29,3),IF(OR(M87="i",M87="j",M87="l",M87="m",N87="i",N87="j",N87="l",N87="m"),VLOOKUP("e",'Características dos Cabos'!$D$25:$L$29,3),"")))))</f>
        <v/>
      </c>
      <c r="V87" s="270" t="str">
        <f t="shared" si="15"/>
        <v/>
      </c>
      <c r="W87" s="243"/>
      <c r="X87" s="257">
        <f t="shared" si="19"/>
        <v>0</v>
      </c>
      <c r="Y87" s="257">
        <f t="shared" si="20"/>
        <v>0</v>
      </c>
      <c r="Z87" s="243"/>
    </row>
    <row r="88" spans="1:26" ht="15" customHeight="1">
      <c r="A88" s="639"/>
      <c r="B88" s="642"/>
      <c r="C88" s="27"/>
      <c r="D88" s="23"/>
      <c r="E88" s="38"/>
      <c r="F88" s="92" t="str">
        <f t="shared" si="16"/>
        <v/>
      </c>
      <c r="G88" s="38"/>
      <c r="H88" s="265" t="str">
        <f>IF(AND(E88="",G88=""),"",SUM(F88:G94))</f>
        <v/>
      </c>
      <c r="J88" s="23"/>
      <c r="K88" s="23"/>
      <c r="L88" s="266" t="str">
        <f>IF(OR(J88="",K88=""),"",IF(J88="3",VLOOKUP(M88,'K% (Rede Convencional)'!$B$18:$M$29,8),(IF(J88="2",VLOOKUP(N88,'K% (Rede Convencional)'!$B$18:$M$29,9),(IF(J88="1",VLOOKUP(N88,'K% (Rede Convencional)'!$B$18:$M$29,10),(IF(J88="13",VLOOKUP(N88,'K% (Rede Convencional)'!$B$18:$M$29,11),(IF(J88="12",VLOOKUP(N88,'K% (Rede Convencional)'!$B$18:$M$29,12),0))))))))))</f>
        <v/>
      </c>
      <c r="M88" s="267" t="str">
        <f t="shared" si="17"/>
        <v/>
      </c>
      <c r="N88" s="267" t="str">
        <f>IF(K88="","",IF(K88="4 (4)","a",IF(OR(K88="2 (4)",K88="2 (2)"),VLOOKUP(K88,BT!$AE$21:$AF$22,2,FALSE),IF(OR(K88="1/0 (4)",K88="1/0 (2)"),VLOOKUP(K88,BT!$AE$24:$AF$25,2,FALSE),IF(OR(K88="4/0 (4)",K88="4/0 (2)",K88="4/0 (1/0)"),VLOOKUP(K88,BT!$AE$27:$AF$29,2,FALSE),IF(OR(K88="336,4 (4)",K88="336,4 (2)",K88="336,4 (1/0)",K88="336,4 (4/0)"),VLOOKUP(K88,BT!$AE$31:$AF$34,2,FALSE),0))))))</f>
        <v/>
      </c>
      <c r="O88" s="38"/>
      <c r="P88" s="268" t="str">
        <f t="shared" si="13"/>
        <v/>
      </c>
      <c r="Q88" s="268" t="str">
        <f>IF(P88="","",SUM($P$45:P88)+$W$85)</f>
        <v/>
      </c>
      <c r="R88" s="268" t="str">
        <f t="shared" si="14"/>
        <v/>
      </c>
      <c r="S88" s="269" t="str">
        <f>IF(OR(M88="a",N88="a"),VLOOKUP("a",'Características dos Cabos'!$D$25:$L$29,9),IF(OR(M88="b",M88="c",N88="b",N88="c"),VLOOKUP("b",'Características dos Cabos'!$D$25:$L$29,9),IF(OR(M88="d",M88="e",N88="d",N88="e"),VLOOKUP("c",'Características dos Cabos'!$D$25:$L$29,9),IF(OR(M88="f",M88="g",M88="h",N88="f",N88="g",N88="h"),VLOOKUP("d",'Características dos Cabos'!$D$25:$L$29,9),IF(OR(M88="i",M88="j",M88="l",M88="m",N88="i",N88="j",N88="l",N88="m"),VLOOKUP("e",'Características dos Cabos'!$D$25:$L$29,9),"")))))</f>
        <v/>
      </c>
      <c r="T88" s="268" t="str">
        <f t="shared" si="18"/>
        <v/>
      </c>
      <c r="U88" s="269" t="str">
        <f>IF(OR(M88="a",N88="a"),VLOOKUP("a",'Características dos Cabos'!$D$25:$L$29,3),IF(OR(M88="b",M88="c",N88="b",N88="c"),VLOOKUP("b",'Características dos Cabos'!$D$25:$L$29,3),IF(OR(M88="d",M88="e",N88="d",N88="e"),VLOOKUP("c",'Características dos Cabos'!$D$25:$L$29,3),IF(OR(M88="f",M88="g",M88="h",N88="f",N88="g",N88="h"),VLOOKUP("d",'Características dos Cabos'!$D$25:$L$29,3),IF(OR(M88="i",M88="j",M88="l",M88="m",N88="i",N88="j",N88="l",N88="m"),VLOOKUP("e",'Características dos Cabos'!$D$25:$L$29,3),"")))))</f>
        <v/>
      </c>
      <c r="V88" s="270" t="str">
        <f t="shared" si="15"/>
        <v/>
      </c>
      <c r="W88" s="243"/>
      <c r="X88" s="257">
        <f t="shared" si="19"/>
        <v>0</v>
      </c>
      <c r="Y88" s="257">
        <f t="shared" si="20"/>
        <v>0</v>
      </c>
      <c r="Z88" s="243"/>
    </row>
    <row r="89" spans="1:26" ht="15" customHeight="1">
      <c r="A89" s="639"/>
      <c r="B89" s="642"/>
      <c r="C89" s="27"/>
      <c r="D89" s="23"/>
      <c r="E89" s="38"/>
      <c r="F89" s="92" t="str">
        <f t="shared" si="16"/>
        <v/>
      </c>
      <c r="G89" s="38"/>
      <c r="H89" s="265" t="str">
        <f>IF(AND(E89="",G89=""),"",SUM(F89:G94))</f>
        <v/>
      </c>
      <c r="J89" s="23"/>
      <c r="K89" s="23"/>
      <c r="L89" s="266" t="str">
        <f>IF(OR(J89="",K89=""),"",IF(J89="3",VLOOKUP(M89,'K% (Rede Convencional)'!$B$18:$M$29,8),(IF(J89="2",VLOOKUP(N89,'K% (Rede Convencional)'!$B$18:$M$29,9),(IF(J89="1",VLOOKUP(N89,'K% (Rede Convencional)'!$B$18:$M$29,10),(IF(J89="13",VLOOKUP(N89,'K% (Rede Convencional)'!$B$18:$M$29,11),(IF(J89="12",VLOOKUP(N89,'K% (Rede Convencional)'!$B$18:$M$29,12),0))))))))))</f>
        <v/>
      </c>
      <c r="M89" s="267" t="str">
        <f t="shared" si="17"/>
        <v/>
      </c>
      <c r="N89" s="267" t="str">
        <f>IF(K89="","",IF(K89="4 (4)","a",IF(OR(K89="2 (4)",K89="2 (2)"),VLOOKUP(K89,BT!$AE$21:$AF$22,2,FALSE),IF(OR(K89="1/0 (4)",K89="1/0 (2)"),VLOOKUP(K89,BT!$AE$24:$AF$25,2,FALSE),IF(OR(K89="4/0 (4)",K89="4/0 (2)",K89="4/0 (1/0)"),VLOOKUP(K89,BT!$AE$27:$AF$29,2,FALSE),IF(OR(K89="336,4 (4)",K89="336,4 (2)",K89="336,4 (1/0)",K89="336,4 (4/0)"),VLOOKUP(K89,BT!$AE$31:$AF$34,2,FALSE),0))))))</f>
        <v/>
      </c>
      <c r="O89" s="38"/>
      <c r="P89" s="268" t="str">
        <f t="shared" si="13"/>
        <v/>
      </c>
      <c r="Q89" s="268" t="str">
        <f>IF(P89="","",SUM($P$45:P89)+$W$85)</f>
        <v/>
      </c>
      <c r="R89" s="268" t="str">
        <f t="shared" si="14"/>
        <v/>
      </c>
      <c r="S89" s="269" t="str">
        <f>IF(OR(M89="a",N89="a"),VLOOKUP("a",'Características dos Cabos'!$D$25:$L$29,9),IF(OR(M89="b",M89="c",N89="b",N89="c"),VLOOKUP("b",'Características dos Cabos'!$D$25:$L$29,9),IF(OR(M89="d",M89="e",N89="d",N89="e"),VLOOKUP("c",'Características dos Cabos'!$D$25:$L$29,9),IF(OR(M89="f",M89="g",M89="h",N89="f",N89="g",N89="h"),VLOOKUP("d",'Características dos Cabos'!$D$25:$L$29,9),IF(OR(M89="i",M89="j",M89="l",M89="m",N89="i",N89="j",N89="l",N89="m"),VLOOKUP("e",'Características dos Cabos'!$D$25:$L$29,9),"")))))</f>
        <v/>
      </c>
      <c r="T89" s="268" t="str">
        <f t="shared" si="18"/>
        <v/>
      </c>
      <c r="U89" s="269" t="str">
        <f>IF(OR(M89="a",N89="a"),VLOOKUP("a",'Características dos Cabos'!$D$25:$L$29,3),IF(OR(M89="b",M89="c",N89="b",N89="c"),VLOOKUP("b",'Características dos Cabos'!$D$25:$L$29,3),IF(OR(M89="d",M89="e",N89="d",N89="e"),VLOOKUP("c",'Características dos Cabos'!$D$25:$L$29,3),IF(OR(M89="f",M89="g",M89="h",N89="f",N89="g",N89="h"),VLOOKUP("d",'Características dos Cabos'!$D$25:$L$29,3),IF(OR(M89="i",M89="j",M89="l",M89="m",N89="i",N89="j",N89="l",N89="m"),VLOOKUP("e",'Características dos Cabos'!$D$25:$L$29,3),"")))))</f>
        <v/>
      </c>
      <c r="V89" s="270" t="str">
        <f t="shared" si="15"/>
        <v/>
      </c>
      <c r="W89" s="243"/>
      <c r="X89" s="257">
        <f t="shared" si="19"/>
        <v>0</v>
      </c>
      <c r="Y89" s="257">
        <f t="shared" si="20"/>
        <v>0</v>
      </c>
      <c r="Z89" s="243"/>
    </row>
    <row r="90" spans="1:26" ht="15" customHeight="1">
      <c r="A90" s="639"/>
      <c r="B90" s="642"/>
      <c r="C90" s="27"/>
      <c r="D90" s="23"/>
      <c r="E90" s="38"/>
      <c r="F90" s="92" t="str">
        <f t="shared" si="16"/>
        <v/>
      </c>
      <c r="G90" s="38"/>
      <c r="H90" s="265" t="str">
        <f>IF(AND(E90="",G90=""),"",SUM(F90:G94))</f>
        <v/>
      </c>
      <c r="J90" s="23"/>
      <c r="K90" s="23"/>
      <c r="L90" s="266" t="str">
        <f>IF(OR(J90="",K90=""),"",IF(J90="3",VLOOKUP(M90,'K% (Rede Convencional)'!$B$18:$M$29,8),(IF(J90="2",VLOOKUP(N90,'K% (Rede Convencional)'!$B$18:$M$29,9),(IF(J90="1",VLOOKUP(N90,'K% (Rede Convencional)'!$B$18:$M$29,10),(IF(J90="13",VLOOKUP(N90,'K% (Rede Convencional)'!$B$18:$M$29,11),(IF(J90="12",VLOOKUP(N90,'K% (Rede Convencional)'!$B$18:$M$29,12),0))))))))))</f>
        <v/>
      </c>
      <c r="M90" s="267" t="str">
        <f t="shared" si="17"/>
        <v/>
      </c>
      <c r="N90" s="267" t="str">
        <f>IF(K90="","",IF(K90="4 (4)","a",IF(OR(K90="2 (4)",K90="2 (2)"),VLOOKUP(K90,BT!$AE$21:$AF$22,2,FALSE),IF(OR(K90="1/0 (4)",K90="1/0 (2)"),VLOOKUP(K90,BT!$AE$24:$AF$25,2,FALSE),IF(OR(K90="4/0 (4)",K90="4/0 (2)",K90="4/0 (1/0)"),VLOOKUP(K90,BT!$AE$27:$AF$29,2,FALSE),IF(OR(K90="336,4 (4)",K90="336,4 (2)",K90="336,4 (1/0)",K90="336,4 (4/0)"),VLOOKUP(K90,BT!$AE$31:$AF$34,2,FALSE),0))))))</f>
        <v/>
      </c>
      <c r="O90" s="38"/>
      <c r="P90" s="268" t="str">
        <f t="shared" si="13"/>
        <v/>
      </c>
      <c r="Q90" s="268" t="str">
        <f>IF(P90="","",SUM($P$45:P90)+$W$85)</f>
        <v/>
      </c>
      <c r="R90" s="268" t="str">
        <f t="shared" si="14"/>
        <v/>
      </c>
      <c r="S90" s="269" t="str">
        <f>IF(OR(M90="a",N90="a"),VLOOKUP("a",'Características dos Cabos'!$D$25:$L$29,9),IF(OR(M90="b",M90="c",N90="b",N90="c"),VLOOKUP("b",'Características dos Cabos'!$D$25:$L$29,9),IF(OR(M90="d",M90="e",N90="d",N90="e"),VLOOKUP("c",'Características dos Cabos'!$D$25:$L$29,9),IF(OR(M90="f",M90="g",M90="h",N90="f",N90="g",N90="h"),VLOOKUP("d",'Características dos Cabos'!$D$25:$L$29,9),IF(OR(M90="i",M90="j",M90="l",M90="m",N90="i",N90="j",N90="l",N90="m"),VLOOKUP("e",'Características dos Cabos'!$D$25:$L$29,9),"")))))</f>
        <v/>
      </c>
      <c r="T90" s="268" t="str">
        <f t="shared" si="18"/>
        <v/>
      </c>
      <c r="U90" s="269" t="str">
        <f>IF(OR(M90="a",N90="a"),VLOOKUP("a",'Características dos Cabos'!$D$25:$L$29,3),IF(OR(M90="b",M90="c",N90="b",N90="c"),VLOOKUP("b",'Características dos Cabos'!$D$25:$L$29,3),IF(OR(M90="d",M90="e",N90="d",N90="e"),VLOOKUP("c",'Características dos Cabos'!$D$25:$L$29,3),IF(OR(M90="f",M90="g",M90="h",N90="f",N90="g",N90="h"),VLOOKUP("d",'Características dos Cabos'!$D$25:$L$29,3),IF(OR(M90="i",M90="j",M90="l",M90="m",N90="i",N90="j",N90="l",N90="m"),VLOOKUP("e",'Características dos Cabos'!$D$25:$L$29,3),"")))))</f>
        <v/>
      </c>
      <c r="V90" s="270" t="str">
        <f t="shared" si="15"/>
        <v/>
      </c>
      <c r="W90" s="243"/>
      <c r="X90" s="257">
        <f t="shared" si="19"/>
        <v>0</v>
      </c>
      <c r="Y90" s="257">
        <f t="shared" si="20"/>
        <v>0</v>
      </c>
      <c r="Z90" s="243"/>
    </row>
    <row r="91" spans="1:26" ht="15" customHeight="1">
      <c r="A91" s="639"/>
      <c r="B91" s="642"/>
      <c r="C91" s="27"/>
      <c r="D91" s="23"/>
      <c r="E91" s="38"/>
      <c r="F91" s="92" t="str">
        <f t="shared" si="16"/>
        <v/>
      </c>
      <c r="G91" s="38"/>
      <c r="H91" s="265" t="str">
        <f>IF(AND(E91="",G91=""),"",SUM(F91:G94))</f>
        <v/>
      </c>
      <c r="J91" s="23"/>
      <c r="K91" s="23"/>
      <c r="L91" s="266" t="str">
        <f>IF(OR(J91="",K91=""),"",IF(J91="3",VLOOKUP(M91,'K% (Rede Convencional)'!$B$18:$M$29,8),(IF(J91="2",VLOOKUP(N91,'K% (Rede Convencional)'!$B$18:$M$29,9),(IF(J91="1",VLOOKUP(N91,'K% (Rede Convencional)'!$B$18:$M$29,10),(IF(J91="13",VLOOKUP(N91,'K% (Rede Convencional)'!$B$18:$M$29,11),(IF(J91="12",VLOOKUP(N91,'K% (Rede Convencional)'!$B$18:$M$29,12),0))))))))))</f>
        <v/>
      </c>
      <c r="M91" s="267" t="str">
        <f t="shared" si="17"/>
        <v/>
      </c>
      <c r="N91" s="267" t="str">
        <f>IF(K91="","",IF(K91="4 (4)","a",IF(OR(K91="2 (4)",K91="2 (2)"),VLOOKUP(K91,BT!$AE$21:$AF$22,2,FALSE),IF(OR(K91="1/0 (4)",K91="1/0 (2)"),VLOOKUP(K91,BT!$AE$24:$AF$25,2,FALSE),IF(OR(K91="4/0 (4)",K91="4/0 (2)",K91="4/0 (1/0)"),VLOOKUP(K91,BT!$AE$27:$AF$29,2,FALSE),IF(OR(K91="336,4 (4)",K91="336,4 (2)",K91="336,4 (1/0)",K91="336,4 (4/0)"),VLOOKUP(K91,BT!$AE$31:$AF$34,2,FALSE),0))))))</f>
        <v/>
      </c>
      <c r="O91" s="38"/>
      <c r="P91" s="268" t="str">
        <f t="shared" si="13"/>
        <v/>
      </c>
      <c r="Q91" s="268" t="str">
        <f>IF(P91="","",SUM($P$45:P91)+$W$85)</f>
        <v/>
      </c>
      <c r="R91" s="268" t="str">
        <f t="shared" si="14"/>
        <v/>
      </c>
      <c r="S91" s="269" t="str">
        <f>IF(OR(M91="a",N91="a"),VLOOKUP("a",'Características dos Cabos'!$D$25:$L$29,9),IF(OR(M91="b",M91="c",N91="b",N91="c"),VLOOKUP("b",'Características dos Cabos'!$D$25:$L$29,9),IF(OR(M91="d",M91="e",N91="d",N91="e"),VLOOKUP("c",'Características dos Cabos'!$D$25:$L$29,9),IF(OR(M91="f",M91="g",M91="h",N91="f",N91="g",N91="h"),VLOOKUP("d",'Características dos Cabos'!$D$25:$L$29,9),IF(OR(M91="i",M91="j",M91="l",M91="m",N91="i",N91="j",N91="l",N91="m"),VLOOKUP("e",'Características dos Cabos'!$D$25:$L$29,9),"")))))</f>
        <v/>
      </c>
      <c r="T91" s="268" t="str">
        <f t="shared" si="18"/>
        <v/>
      </c>
      <c r="U91" s="269" t="str">
        <f>IF(OR(M91="a",N91="a"),VLOOKUP("a",'Características dos Cabos'!$D$25:$L$29,3),IF(OR(M91="b",M91="c",N91="b",N91="c"),VLOOKUP("b",'Características dos Cabos'!$D$25:$L$29,3),IF(OR(M91="d",M91="e",N91="d",N91="e"),VLOOKUP("c",'Características dos Cabos'!$D$25:$L$29,3),IF(OR(M91="f",M91="g",M91="h",N91="f",N91="g",N91="h"),VLOOKUP("d",'Características dos Cabos'!$D$25:$L$29,3),IF(OR(M91="i",M91="j",M91="l",M91="m",N91="i",N91="j",N91="l",N91="m"),VLOOKUP("e",'Características dos Cabos'!$D$25:$L$29,3),"")))))</f>
        <v/>
      </c>
      <c r="V91" s="270" t="str">
        <f t="shared" si="15"/>
        <v/>
      </c>
      <c r="W91" s="243"/>
      <c r="X91" s="257">
        <f t="shared" si="19"/>
        <v>0</v>
      </c>
      <c r="Y91" s="257">
        <f t="shared" si="20"/>
        <v>0</v>
      </c>
      <c r="Z91" s="243"/>
    </row>
    <row r="92" spans="1:26" ht="15" customHeight="1">
      <c r="A92" s="639"/>
      <c r="B92" s="642"/>
      <c r="C92" s="27"/>
      <c r="D92" s="23"/>
      <c r="E92" s="38"/>
      <c r="F92" s="92" t="str">
        <f t="shared" si="16"/>
        <v/>
      </c>
      <c r="G92" s="38"/>
      <c r="H92" s="265" t="str">
        <f>IF(AND(E92="",G92=""),"",SUM(F92:G94))</f>
        <v/>
      </c>
      <c r="J92" s="23"/>
      <c r="K92" s="23"/>
      <c r="L92" s="266" t="str">
        <f>IF(OR(J92="",K92=""),"",IF(J92="3",VLOOKUP(M92,'K% (Rede Convencional)'!$B$18:$M$29,8),(IF(J92="2",VLOOKUP(N92,'K% (Rede Convencional)'!$B$18:$M$29,9),(IF(J92="1",VLOOKUP(N92,'K% (Rede Convencional)'!$B$18:$M$29,10),(IF(J92="13",VLOOKUP(N92,'K% (Rede Convencional)'!$B$18:$M$29,11),(IF(J92="12",VLOOKUP(N92,'K% (Rede Convencional)'!$B$18:$M$29,12),0))))))))))</f>
        <v/>
      </c>
      <c r="M92" s="267" t="str">
        <f t="shared" si="17"/>
        <v/>
      </c>
      <c r="N92" s="267" t="str">
        <f>IF(K92="","",IF(K92="4 (4)","a",IF(OR(K92="2 (4)",K92="2 (2)"),VLOOKUP(K92,BT!$AE$21:$AF$22,2,FALSE),IF(OR(K92="1/0 (4)",K92="1/0 (2)"),VLOOKUP(K92,BT!$AE$24:$AF$25,2,FALSE),IF(OR(K92="4/0 (4)",K92="4/0 (2)",K92="4/0 (1/0)"),VLOOKUP(K92,BT!$AE$27:$AF$29,2,FALSE),IF(OR(K92="336,4 (4)",K92="336,4 (2)",K92="336,4 (1/0)",K92="336,4 (4/0)"),VLOOKUP(K92,BT!$AE$31:$AF$34,2,FALSE),0))))))</f>
        <v/>
      </c>
      <c r="O92" s="38"/>
      <c r="P92" s="268" t="str">
        <f t="shared" si="13"/>
        <v/>
      </c>
      <c r="Q92" s="268" t="str">
        <f>IF(P92="","",SUM($P$45:P92)+$W$85)</f>
        <v/>
      </c>
      <c r="R92" s="268" t="str">
        <f t="shared" si="14"/>
        <v/>
      </c>
      <c r="S92" s="269" t="str">
        <f>IF(OR(M92="a",N92="a"),VLOOKUP("a",'Características dos Cabos'!$D$25:$L$29,9),IF(OR(M92="b",M92="c",N92="b",N92="c"),VLOOKUP("b",'Características dos Cabos'!$D$25:$L$29,9),IF(OR(M92="d",M92="e",N92="d",N92="e"),VLOOKUP("c",'Características dos Cabos'!$D$25:$L$29,9),IF(OR(M92="f",M92="g",M92="h",N92="f",N92="g",N92="h"),VLOOKUP("d",'Características dos Cabos'!$D$25:$L$29,9),IF(OR(M92="i",M92="j",M92="l",M92="m",N92="i",N92="j",N92="l",N92="m"),VLOOKUP("e",'Características dos Cabos'!$D$25:$L$29,9),"")))))</f>
        <v/>
      </c>
      <c r="T92" s="268" t="str">
        <f t="shared" si="18"/>
        <v/>
      </c>
      <c r="U92" s="269" t="str">
        <f>IF(OR(M92="a",N92="a"),VLOOKUP("a",'Características dos Cabos'!$D$25:$L$29,3),IF(OR(M92="b",M92="c",N92="b",N92="c"),VLOOKUP("b",'Características dos Cabos'!$D$25:$L$29,3),IF(OR(M92="d",M92="e",N92="d",N92="e"),VLOOKUP("c",'Características dos Cabos'!$D$25:$L$29,3),IF(OR(M92="f",M92="g",M92="h",N92="f",N92="g",N92="h"),VLOOKUP("d",'Características dos Cabos'!$D$25:$L$29,3),IF(OR(M92="i",M92="j",M92="l",M92="m",N92="i",N92="j",N92="l",N92="m"),VLOOKUP("e",'Características dos Cabos'!$D$25:$L$29,3),"")))))</f>
        <v/>
      </c>
      <c r="V92" s="270" t="str">
        <f t="shared" si="15"/>
        <v/>
      </c>
      <c r="W92" s="243"/>
      <c r="X92" s="257">
        <f t="shared" si="19"/>
        <v>0</v>
      </c>
      <c r="Y92" s="257">
        <f t="shared" si="20"/>
        <v>0</v>
      </c>
      <c r="Z92" s="243"/>
    </row>
    <row r="93" spans="1:26" ht="15" customHeight="1">
      <c r="A93" s="639"/>
      <c r="B93" s="642"/>
      <c r="C93" s="27"/>
      <c r="D93" s="23"/>
      <c r="E93" s="38"/>
      <c r="F93" s="92" t="str">
        <f t="shared" si="16"/>
        <v/>
      </c>
      <c r="G93" s="38"/>
      <c r="H93" s="265" t="str">
        <f>IF(AND(E93="",G93=""),"",SUM(F93:G94))</f>
        <v/>
      </c>
      <c r="J93" s="23"/>
      <c r="K93" s="23"/>
      <c r="L93" s="266" t="str">
        <f>IF(OR(J93="",K93=""),"",IF(J93="3",VLOOKUP(M93,'K% (Rede Convencional)'!$B$18:$M$29,8),(IF(J93="2",VLOOKUP(N93,'K% (Rede Convencional)'!$B$18:$M$29,9),(IF(J93="1",VLOOKUP(N93,'K% (Rede Convencional)'!$B$18:$M$29,10),(IF(J93="13",VLOOKUP(N93,'K% (Rede Convencional)'!$B$18:$M$29,11),(IF(J93="12",VLOOKUP(N93,'K% (Rede Convencional)'!$B$18:$M$29,12),0))))))))))</f>
        <v/>
      </c>
      <c r="M93" s="267" t="str">
        <f t="shared" si="17"/>
        <v/>
      </c>
      <c r="N93" s="267" t="str">
        <f>IF(K93="","",IF(K93="4 (4)","a",IF(OR(K93="2 (4)",K93="2 (2)"),VLOOKUP(K93,BT!$AE$21:$AF$22,2,FALSE),IF(OR(K93="1/0 (4)",K93="1/0 (2)"),VLOOKUP(K93,BT!$AE$24:$AF$25,2,FALSE),IF(OR(K93="4/0 (4)",K93="4/0 (2)",K93="4/0 (1/0)"),VLOOKUP(K93,BT!$AE$27:$AF$29,2,FALSE),IF(OR(K93="336,4 (4)",K93="336,4 (2)",K93="336,4 (1/0)",K93="336,4 (4/0)"),VLOOKUP(K93,BT!$AE$31:$AF$34,2,FALSE),0))))))</f>
        <v/>
      </c>
      <c r="O93" s="38"/>
      <c r="P93" s="268" t="str">
        <f t="shared" si="13"/>
        <v/>
      </c>
      <c r="Q93" s="268" t="str">
        <f>IF(P93="","",SUM($P$45:P93)+$W$85)</f>
        <v/>
      </c>
      <c r="R93" s="268" t="str">
        <f t="shared" si="14"/>
        <v/>
      </c>
      <c r="S93" s="269" t="str">
        <f>IF(OR(M93="a",N93="a"),VLOOKUP("a",'Características dos Cabos'!$D$25:$L$29,9),IF(OR(M93="b",M93="c",N93="b",N93="c"),VLOOKUP("b",'Características dos Cabos'!$D$25:$L$29,9),IF(OR(M93="d",M93="e",N93="d",N93="e"),VLOOKUP("c",'Características dos Cabos'!$D$25:$L$29,9),IF(OR(M93="f",M93="g",M93="h",N93="f",N93="g",N93="h"),VLOOKUP("d",'Características dos Cabos'!$D$25:$L$29,9),IF(OR(M93="i",M93="j",M93="l",M93="m",N93="i",N93="j",N93="l",N93="m"),VLOOKUP("e",'Características dos Cabos'!$D$25:$L$29,9),"")))))</f>
        <v/>
      </c>
      <c r="T93" s="268" t="str">
        <f t="shared" si="18"/>
        <v/>
      </c>
      <c r="U93" s="269" t="str">
        <f>IF(OR(M93="a",N93="a"),VLOOKUP("a",'Características dos Cabos'!$D$25:$L$29,3),IF(OR(M93="b",M93="c",N93="b",N93="c"),VLOOKUP("b",'Características dos Cabos'!$D$25:$L$29,3),IF(OR(M93="d",M93="e",N93="d",N93="e"),VLOOKUP("c",'Características dos Cabos'!$D$25:$L$29,3),IF(OR(M93="f",M93="g",M93="h",N93="f",N93="g",N93="h"),VLOOKUP("d",'Características dos Cabos'!$D$25:$L$29,3),IF(OR(M93="i",M93="j",M93="l",M93="m",N93="i",N93="j",N93="l",N93="m"),VLOOKUP("e",'Características dos Cabos'!$D$25:$L$29,3),"")))))</f>
        <v/>
      </c>
      <c r="V93" s="270" t="str">
        <f t="shared" si="15"/>
        <v/>
      </c>
      <c r="W93" s="243"/>
      <c r="X93" s="257">
        <f t="shared" si="19"/>
        <v>0</v>
      </c>
      <c r="Y93" s="257">
        <f t="shared" si="20"/>
        <v>0</v>
      </c>
      <c r="Z93" s="243"/>
    </row>
    <row r="94" spans="1:26" ht="15" customHeight="1" thickBot="1">
      <c r="A94" s="639"/>
      <c r="B94" s="643"/>
      <c r="C94" s="45"/>
      <c r="D94" s="46"/>
      <c r="E94" s="47"/>
      <c r="F94" s="54" t="str">
        <f t="shared" si="16"/>
        <v/>
      </c>
      <c r="G94" s="47"/>
      <c r="H94" s="271" t="str">
        <f>IF(AND(E94="",G94=""),"",SUM(F94:G94))</f>
        <v/>
      </c>
      <c r="J94" s="46"/>
      <c r="K94" s="46"/>
      <c r="L94" s="272" t="str">
        <f>IF(OR(J94="",K94=""),"",IF(J94="3",VLOOKUP(M94,'K% (Rede Convencional)'!$B$18:$M$29,8),(IF(J94="2",VLOOKUP(N94,'K% (Rede Convencional)'!$B$18:$M$29,9),(IF(J94="1",VLOOKUP(N94,'K% (Rede Convencional)'!$B$18:$M$29,10),(IF(J94="13",VLOOKUP(N94,'K% (Rede Convencional)'!$B$18:$M$29,11),(IF(J94="12",VLOOKUP(N94,'K% (Rede Convencional)'!$B$18:$M$29,12),0))))))))))</f>
        <v/>
      </c>
      <c r="M94" s="273" t="str">
        <f t="shared" si="17"/>
        <v/>
      </c>
      <c r="N94" s="273" t="str">
        <f>IF(K94="","",IF(K94="4 (4)","a",IF(OR(K94="2 (4)",K94="2 (2)"),VLOOKUP(K94,BT!$AE$21:$AF$22,2,FALSE),IF(OR(K94="1/0 (4)",K94="1/0 (2)"),VLOOKUP(K94,BT!$AE$24:$AF$25,2,FALSE),IF(OR(K94="4/0 (4)",K94="4/0 (2)",K94="4/0 (1/0)"),VLOOKUP(K94,BT!$AE$27:$AF$29,2,FALSE),IF(OR(K94="336,4 (4)",K94="336,4 (2)",K94="336,4 (1/0)",K94="336,4 (4/0)"),VLOOKUP(K94,BT!$AE$31:$AF$34,2,FALSE),0))))))</f>
        <v/>
      </c>
      <c r="O94" s="47"/>
      <c r="P94" s="274" t="str">
        <f t="shared" si="13"/>
        <v/>
      </c>
      <c r="Q94" s="274" t="str">
        <f>IF(P94="","",SUM($P$45:P94)+$W$85)</f>
        <v/>
      </c>
      <c r="R94" s="274" t="str">
        <f t="shared" si="14"/>
        <v/>
      </c>
      <c r="S94" s="275" t="str">
        <f>IF(OR(M94="a",N94="a"),VLOOKUP("a",'Características dos Cabos'!$D$25:$L$29,9),IF(OR(M94="b",M94="c",N94="b",N94="c"),VLOOKUP("b",'Características dos Cabos'!$D$25:$L$29,9),IF(OR(M94="d",M94="e",N94="d",N94="e"),VLOOKUP("c",'Características dos Cabos'!$D$25:$L$29,9),IF(OR(M94="f",M94="g",M94="h",N94="f",N94="g",N94="h"),VLOOKUP("d",'Características dos Cabos'!$D$25:$L$29,9),IF(OR(M94="i",M94="j",M94="l",M94="m",N94="i",N94="j",N94="l",N94="m"),VLOOKUP("e",'Características dos Cabos'!$D$25:$L$29,9),"")))))</f>
        <v/>
      </c>
      <c r="T94" s="274" t="str">
        <f t="shared" si="18"/>
        <v/>
      </c>
      <c r="U94" s="275" t="str">
        <f>IF(OR(M94="a",N94="a"),VLOOKUP("a",'Características dos Cabos'!$D$25:$L$29,3),IF(OR(M94="b",M94="c",N94="b",N94="c"),VLOOKUP("b",'Características dos Cabos'!$D$25:$L$29,3),IF(OR(M94="d",M94="e",N94="d",N94="e"),VLOOKUP("c",'Características dos Cabos'!$D$25:$L$29,3),IF(OR(M94="f",M94="g",M94="h",N94="f",N94="g",N94="h"),VLOOKUP("d",'Características dos Cabos'!$D$25:$L$29,3),IF(OR(M94="i",M94="j",M94="l",M94="m",N94="i",N94="j",N94="l",N94="m"),VLOOKUP("e",'Características dos Cabos'!$D$25:$L$29,3),"")))))</f>
        <v/>
      </c>
      <c r="V94" s="276" t="str">
        <f t="shared" si="15"/>
        <v/>
      </c>
      <c r="W94" s="243"/>
      <c r="X94" s="257">
        <f t="shared" si="19"/>
        <v>0</v>
      </c>
      <c r="Y94" s="257">
        <f t="shared" si="20"/>
        <v>0</v>
      </c>
      <c r="Z94" s="243"/>
    </row>
    <row r="95" spans="1:26" ht="15" customHeight="1" thickTop="1">
      <c r="A95" s="639"/>
      <c r="B95" s="641" t="str">
        <f>CONCATENATE("Ramal 6 - Derivando no ponto ",C95)</f>
        <v xml:space="preserve">Ramal 6 - Derivando no ponto </v>
      </c>
      <c r="C95" s="26"/>
      <c r="D95" s="25"/>
      <c r="E95" s="37"/>
      <c r="F95" s="92" t="str">
        <f t="shared" si="16"/>
        <v/>
      </c>
      <c r="G95" s="37"/>
      <c r="H95" s="278" t="str">
        <f>IF(AND(E95="",G95=""),"",SUM(F95:G104))</f>
        <v/>
      </c>
      <c r="J95" s="25"/>
      <c r="K95" s="25"/>
      <c r="L95" s="279" t="str">
        <f>IF(OR(J95="",K95=""),"",IF(J95="3",VLOOKUP(M95,'K% (Rede Convencional)'!$B$18:$M$29,8),(IF(J95="2",VLOOKUP(N95,'K% (Rede Convencional)'!$B$18:$M$29,9),(IF(J95="1",VLOOKUP(N95,'K% (Rede Convencional)'!$B$18:$M$29,10),(IF(J95="13",VLOOKUP(N95,'K% (Rede Convencional)'!$B$18:$M$29,11),(IF(J95="12",VLOOKUP(N95,'K% (Rede Convencional)'!$B$18:$M$29,12),0))))))))))</f>
        <v/>
      </c>
      <c r="M95" s="253" t="str">
        <f t="shared" si="17"/>
        <v/>
      </c>
      <c r="N95" s="253" t="str">
        <f>IF(K95="","",IF(K95="4 (4)","a",IF(OR(K95="2 (4)",K95="2 (2)"),VLOOKUP(K95,BT!$AE$21:$AF$22,2,FALSE),IF(OR(K95="1/0 (4)",K95="1/0 (2)"),VLOOKUP(K95,BT!$AE$24:$AF$25,2,FALSE),IF(OR(K95="4/0 (4)",K95="4/0 (2)",K95="4/0 (1/0)"),VLOOKUP(K95,BT!$AE$27:$AF$29,2,FALSE),IF(OR(K95="336,4 (4)",K95="336,4 (2)",K95="336,4 (1/0)",K95="336,4 (4/0)"),VLOOKUP(K95,BT!$AE$31:$AF$34,2,FALSE),0))))))</f>
        <v/>
      </c>
      <c r="O95" s="37"/>
      <c r="P95" s="280" t="str">
        <f t="shared" si="13"/>
        <v/>
      </c>
      <c r="Q95" s="280" t="str">
        <f>IF(P95="","",P95+VLOOKUP(C95,$D$21:$Q$43,13,FALSE))</f>
        <v/>
      </c>
      <c r="R95" s="280" t="str">
        <f t="shared" si="14"/>
        <v/>
      </c>
      <c r="S95" s="281" t="str">
        <f>IF(OR(M95="a",N95="a"),VLOOKUP("a",'Características dos Cabos'!$D$25:$L$29,9),IF(OR(M95="b",M95="c",N95="b",N95="c"),VLOOKUP("b",'Características dos Cabos'!$D$25:$L$29,9),IF(OR(M95="d",M95="e",N95="d",N95="e"),VLOOKUP("c",'Características dos Cabos'!$D$25:$L$29,9),IF(OR(M95="f",M95="g",M95="h",N95="f",N95="g",N95="h"),VLOOKUP("d",'Características dos Cabos'!$D$25:$L$29,9),IF(OR(M95="i",M95="j",M95="l",M95="m",N95="i",N95="j",N95="l",N95="m"),VLOOKUP("e",'Características dos Cabos'!$D$25:$L$29,9),"")))))</f>
        <v/>
      </c>
      <c r="T95" s="280" t="str">
        <f t="shared" si="18"/>
        <v/>
      </c>
      <c r="U95" s="281" t="str">
        <f>IF(OR(M95="a",N95="a"),VLOOKUP("a",'Características dos Cabos'!$D$25:$L$29,3),IF(OR(M95="b",M95="c",N95="b",N95="c"),VLOOKUP("b",'Características dos Cabos'!$D$25:$L$29,3),IF(OR(M95="d",M95="e",N95="d",N95="e"),VLOOKUP("c",'Características dos Cabos'!$D$25:$L$29,3),IF(OR(M95="f",M95="g",M95="h",N95="f",N95="g",N95="h"),VLOOKUP("d",'Características dos Cabos'!$D$25:$L$29,3),IF(OR(M95="i",M95="j",M95="l",M95="m",N95="i",N95="j",N95="l",N95="m"),VLOOKUP("e",'Características dos Cabos'!$D$25:$L$29,3),"")))))</f>
        <v/>
      </c>
      <c r="V95" s="282" t="str">
        <f t="shared" si="15"/>
        <v/>
      </c>
      <c r="W95" s="445" t="e">
        <f>VLOOKUP(C95,$D$21:$Q$43,12,FALSE)</f>
        <v>#N/A</v>
      </c>
      <c r="X95" s="257">
        <f t="shared" si="19"/>
        <v>0</v>
      </c>
      <c r="Y95" s="257">
        <f t="shared" si="20"/>
        <v>0</v>
      </c>
      <c r="Z95" s="243"/>
    </row>
    <row r="96" spans="1:26" ht="15" customHeight="1">
      <c r="A96" s="639"/>
      <c r="B96" s="642"/>
      <c r="C96" s="27"/>
      <c r="D96" s="23"/>
      <c r="E96" s="38"/>
      <c r="F96" s="92" t="str">
        <f t="shared" si="16"/>
        <v/>
      </c>
      <c r="G96" s="38"/>
      <c r="H96" s="265" t="str">
        <f>IF(AND(E96="",G96=""),"",SUM(F96:G104))</f>
        <v/>
      </c>
      <c r="J96" s="23"/>
      <c r="K96" s="23"/>
      <c r="L96" s="266" t="str">
        <f>IF(OR(J96="",K96=""),"",IF(J96="3",VLOOKUP(M96,'K% (Rede Convencional)'!$B$18:$M$29,8),(IF(J96="2",VLOOKUP(N96,'K% (Rede Convencional)'!$B$18:$M$29,9),(IF(J96="1",VLOOKUP(N96,'K% (Rede Convencional)'!$B$18:$M$29,10),(IF(J96="13",VLOOKUP(N96,'K% (Rede Convencional)'!$B$18:$M$29,11),(IF(J96="12",VLOOKUP(N96,'K% (Rede Convencional)'!$B$18:$M$29,12),0))))))))))</f>
        <v/>
      </c>
      <c r="M96" s="267" t="str">
        <f t="shared" si="17"/>
        <v/>
      </c>
      <c r="N96" s="267" t="str">
        <f>IF(K96="","",IF(K96="4 (4)","a",IF(OR(K96="2 (4)",K96="2 (2)"),VLOOKUP(K96,BT!$AE$21:$AF$22,2,FALSE),IF(OR(K96="1/0 (4)",K96="1/0 (2)"),VLOOKUP(K96,BT!$AE$24:$AF$25,2,FALSE),IF(OR(K96="4/0 (4)",K96="4/0 (2)",K96="4/0 (1/0)"),VLOOKUP(K96,BT!$AE$27:$AF$29,2,FALSE),IF(OR(K96="336,4 (4)",K96="336,4 (2)",K96="336,4 (1/0)",K96="336,4 (4/0)"),VLOOKUP(K96,BT!$AE$31:$AF$34,2,FALSE),0))))))</f>
        <v/>
      </c>
      <c r="O96" s="38"/>
      <c r="P96" s="268" t="str">
        <f t="shared" si="13"/>
        <v/>
      </c>
      <c r="Q96" s="268" t="str">
        <f>IF(P96="","",SUM($P$45:P96)+$W$95)</f>
        <v/>
      </c>
      <c r="R96" s="268" t="str">
        <f t="shared" si="14"/>
        <v/>
      </c>
      <c r="S96" s="269" t="str">
        <f>IF(OR(M96="a",N96="a"),VLOOKUP("a",'Características dos Cabos'!$D$25:$L$29,9),IF(OR(M96="b",M96="c",N96="b",N96="c"),VLOOKUP("b",'Características dos Cabos'!$D$25:$L$29,9),IF(OR(M96="d",M96="e",N96="d",N96="e"),VLOOKUP("c",'Características dos Cabos'!$D$25:$L$29,9),IF(OR(M96="f",M96="g",M96="h",N96="f",N96="g",N96="h"),VLOOKUP("d",'Características dos Cabos'!$D$25:$L$29,9),IF(OR(M96="i",M96="j",M96="l",M96="m",N96="i",N96="j",N96="l",N96="m"),VLOOKUP("e",'Características dos Cabos'!$D$25:$L$29,9),"")))))</f>
        <v/>
      </c>
      <c r="T96" s="268" t="str">
        <f t="shared" si="18"/>
        <v/>
      </c>
      <c r="U96" s="269" t="str">
        <f>IF(OR(M96="a",N96="a"),VLOOKUP("a",'Características dos Cabos'!$D$25:$L$29,3),IF(OR(M96="b",M96="c",N96="b",N96="c"),VLOOKUP("b",'Características dos Cabos'!$D$25:$L$29,3),IF(OR(M96="d",M96="e",N96="d",N96="e"),VLOOKUP("c",'Características dos Cabos'!$D$25:$L$29,3),IF(OR(M96="f",M96="g",M96="h",N96="f",N96="g",N96="h"),VLOOKUP("d",'Características dos Cabos'!$D$25:$L$29,3),IF(OR(M96="i",M96="j",M96="l",M96="m",N96="i",N96="j",N96="l",N96="m"),VLOOKUP("e",'Características dos Cabos'!$D$25:$L$29,3),"")))))</f>
        <v/>
      </c>
      <c r="V96" s="270" t="str">
        <f t="shared" si="15"/>
        <v/>
      </c>
      <c r="W96" s="243"/>
      <c r="X96" s="257">
        <f t="shared" si="19"/>
        <v>0</v>
      </c>
      <c r="Y96" s="257">
        <f t="shared" si="20"/>
        <v>0</v>
      </c>
      <c r="Z96" s="243"/>
    </row>
    <row r="97" spans="1:26" ht="15" customHeight="1">
      <c r="A97" s="639"/>
      <c r="B97" s="642"/>
      <c r="C97" s="27"/>
      <c r="D97" s="23"/>
      <c r="E97" s="38"/>
      <c r="F97" s="92" t="str">
        <f t="shared" si="16"/>
        <v/>
      </c>
      <c r="G97" s="38"/>
      <c r="H97" s="265" t="str">
        <f>IF(AND(E97="",G97=""),"",SUM(F97:G104))</f>
        <v/>
      </c>
      <c r="J97" s="23"/>
      <c r="K97" s="23"/>
      <c r="L97" s="266" t="str">
        <f>IF(OR(J97="",K97=""),"",IF(J97="3",VLOOKUP(M97,'K% (Rede Convencional)'!$B$18:$M$29,8),(IF(J97="2",VLOOKUP(N97,'K% (Rede Convencional)'!$B$18:$M$29,9),(IF(J97="1",VLOOKUP(N97,'K% (Rede Convencional)'!$B$18:$M$29,10),(IF(J97="13",VLOOKUP(N97,'K% (Rede Convencional)'!$B$18:$M$29,11),(IF(J97="12",VLOOKUP(N97,'K% (Rede Convencional)'!$B$18:$M$29,12),0))))))))))</f>
        <v/>
      </c>
      <c r="M97" s="267" t="str">
        <f t="shared" si="17"/>
        <v/>
      </c>
      <c r="N97" s="267" t="str">
        <f>IF(K97="","",IF(K97="4 (4)","a",IF(OR(K97="2 (4)",K97="2 (2)"),VLOOKUP(K97,BT!$AE$21:$AF$22,2,FALSE),IF(OR(K97="1/0 (4)",K97="1/0 (2)"),VLOOKUP(K97,BT!$AE$24:$AF$25,2,FALSE),IF(OR(K97="4/0 (4)",K97="4/0 (2)",K97="4/0 (1/0)"),VLOOKUP(K97,BT!$AE$27:$AF$29,2,FALSE),IF(OR(K97="336,4 (4)",K97="336,4 (2)",K97="336,4 (1/0)",K97="336,4 (4/0)"),VLOOKUP(K97,BT!$AE$31:$AF$34,2,FALSE),0))))))</f>
        <v/>
      </c>
      <c r="O97" s="38"/>
      <c r="P97" s="268" t="str">
        <f t="shared" si="13"/>
        <v/>
      </c>
      <c r="Q97" s="268" t="str">
        <f>IF(P97="","",SUM($P$45:P97)+$W$95)</f>
        <v/>
      </c>
      <c r="R97" s="268" t="str">
        <f t="shared" si="14"/>
        <v/>
      </c>
      <c r="S97" s="269" t="str">
        <f>IF(OR(M97="a",N97="a"),VLOOKUP("a",'Características dos Cabos'!$D$25:$L$29,9),IF(OR(M97="b",M97="c",N97="b",N97="c"),VLOOKUP("b",'Características dos Cabos'!$D$25:$L$29,9),IF(OR(M97="d",M97="e",N97="d",N97="e"),VLOOKUP("c",'Características dos Cabos'!$D$25:$L$29,9),IF(OR(M97="f",M97="g",M97="h",N97="f",N97="g",N97="h"),VLOOKUP("d",'Características dos Cabos'!$D$25:$L$29,9),IF(OR(M97="i",M97="j",M97="l",M97="m",N97="i",N97="j",N97="l",N97="m"),VLOOKUP("e",'Características dos Cabos'!$D$25:$L$29,9),"")))))</f>
        <v/>
      </c>
      <c r="T97" s="268" t="str">
        <f t="shared" si="18"/>
        <v/>
      </c>
      <c r="U97" s="269" t="str">
        <f>IF(OR(M97="a",N97="a"),VLOOKUP("a",'Características dos Cabos'!$D$25:$L$29,3),IF(OR(M97="b",M97="c",N97="b",N97="c"),VLOOKUP("b",'Características dos Cabos'!$D$25:$L$29,3),IF(OR(M97="d",M97="e",N97="d",N97="e"),VLOOKUP("c",'Características dos Cabos'!$D$25:$L$29,3),IF(OR(M97="f",M97="g",M97="h",N97="f",N97="g",N97="h"),VLOOKUP("d",'Características dos Cabos'!$D$25:$L$29,3),IF(OR(M97="i",M97="j",M97="l",M97="m",N97="i",N97="j",N97="l",N97="m"),VLOOKUP("e",'Características dos Cabos'!$D$25:$L$29,3),"")))))</f>
        <v/>
      </c>
      <c r="V97" s="270" t="str">
        <f t="shared" si="15"/>
        <v/>
      </c>
      <c r="W97" s="243"/>
      <c r="X97" s="257">
        <f t="shared" si="19"/>
        <v>0</v>
      </c>
      <c r="Y97" s="257">
        <f t="shared" si="20"/>
        <v>0</v>
      </c>
      <c r="Z97" s="243"/>
    </row>
    <row r="98" spans="1:26" ht="15" customHeight="1">
      <c r="A98" s="639"/>
      <c r="B98" s="642"/>
      <c r="C98" s="27"/>
      <c r="D98" s="23"/>
      <c r="E98" s="38"/>
      <c r="F98" s="92" t="str">
        <f t="shared" si="16"/>
        <v/>
      </c>
      <c r="G98" s="38"/>
      <c r="H98" s="265" t="str">
        <f>IF(AND(E98="",G98=""),"",SUM(F98:G104))</f>
        <v/>
      </c>
      <c r="J98" s="23"/>
      <c r="K98" s="23"/>
      <c r="L98" s="266" t="str">
        <f>IF(OR(J98="",K98=""),"",IF(J98="3",VLOOKUP(M98,'K% (Rede Convencional)'!$B$18:$M$29,8),(IF(J98="2",VLOOKUP(N98,'K% (Rede Convencional)'!$B$18:$M$29,9),(IF(J98="1",VLOOKUP(N98,'K% (Rede Convencional)'!$B$18:$M$29,10),(IF(J98="13",VLOOKUP(N98,'K% (Rede Convencional)'!$B$18:$M$29,11),(IF(J98="12",VLOOKUP(N98,'K% (Rede Convencional)'!$B$18:$M$29,12),0))))))))))</f>
        <v/>
      </c>
      <c r="M98" s="267" t="str">
        <f t="shared" si="17"/>
        <v/>
      </c>
      <c r="N98" s="267" t="str">
        <f>IF(K98="","",IF(K98="4 (4)","a",IF(OR(K98="2 (4)",K98="2 (2)"),VLOOKUP(K98,BT!$AE$21:$AF$22,2,FALSE),IF(OR(K98="1/0 (4)",K98="1/0 (2)"),VLOOKUP(K98,BT!$AE$24:$AF$25,2,FALSE),IF(OR(K98="4/0 (4)",K98="4/0 (2)",K98="4/0 (1/0)"),VLOOKUP(K98,BT!$AE$27:$AF$29,2,FALSE),IF(OR(K98="336,4 (4)",K98="336,4 (2)",K98="336,4 (1/0)",K98="336,4 (4/0)"),VLOOKUP(K98,BT!$AE$31:$AF$34,2,FALSE),0))))))</f>
        <v/>
      </c>
      <c r="O98" s="38"/>
      <c r="P98" s="268" t="str">
        <f t="shared" si="13"/>
        <v/>
      </c>
      <c r="Q98" s="268" t="str">
        <f>IF(P98="","",SUM($P$45:P98)+$W$95)</f>
        <v/>
      </c>
      <c r="R98" s="268" t="str">
        <f t="shared" si="14"/>
        <v/>
      </c>
      <c r="S98" s="269" t="str">
        <f>IF(OR(M98="a",N98="a"),VLOOKUP("a",'Características dos Cabos'!$D$25:$L$29,9),IF(OR(M98="b",M98="c",N98="b",N98="c"),VLOOKUP("b",'Características dos Cabos'!$D$25:$L$29,9),IF(OR(M98="d",M98="e",N98="d",N98="e"),VLOOKUP("c",'Características dos Cabos'!$D$25:$L$29,9),IF(OR(M98="f",M98="g",M98="h",N98="f",N98="g",N98="h"),VLOOKUP("d",'Características dos Cabos'!$D$25:$L$29,9),IF(OR(M98="i",M98="j",M98="l",M98="m",N98="i",N98="j",N98="l",N98="m"),VLOOKUP("e",'Características dos Cabos'!$D$25:$L$29,9),"")))))</f>
        <v/>
      </c>
      <c r="T98" s="268" t="str">
        <f t="shared" si="18"/>
        <v/>
      </c>
      <c r="U98" s="269" t="str">
        <f>IF(OR(M98="a",N98="a"),VLOOKUP("a",'Características dos Cabos'!$D$25:$L$29,3),IF(OR(M98="b",M98="c",N98="b",N98="c"),VLOOKUP("b",'Características dos Cabos'!$D$25:$L$29,3),IF(OR(M98="d",M98="e",N98="d",N98="e"),VLOOKUP("c",'Características dos Cabos'!$D$25:$L$29,3),IF(OR(M98="f",M98="g",M98="h",N98="f",N98="g",N98="h"),VLOOKUP("d",'Características dos Cabos'!$D$25:$L$29,3),IF(OR(M98="i",M98="j",M98="l",M98="m",N98="i",N98="j",N98="l",N98="m"),VLOOKUP("e",'Características dos Cabos'!$D$25:$L$29,3),"")))))</f>
        <v/>
      </c>
      <c r="V98" s="270" t="str">
        <f t="shared" si="15"/>
        <v/>
      </c>
      <c r="W98" s="243"/>
      <c r="X98" s="257">
        <f t="shared" si="19"/>
        <v>0</v>
      </c>
      <c r="Y98" s="257">
        <f t="shared" si="20"/>
        <v>0</v>
      </c>
      <c r="Z98" s="243"/>
    </row>
    <row r="99" spans="1:26" ht="15" customHeight="1">
      <c r="A99" s="639"/>
      <c r="B99" s="642"/>
      <c r="C99" s="27"/>
      <c r="D99" s="23"/>
      <c r="E99" s="38"/>
      <c r="F99" s="92" t="str">
        <f t="shared" si="16"/>
        <v/>
      </c>
      <c r="G99" s="38"/>
      <c r="H99" s="265" t="str">
        <f>IF(AND(E99="",G99=""),"",SUM(F99:G104))</f>
        <v/>
      </c>
      <c r="J99" s="23"/>
      <c r="K99" s="23"/>
      <c r="L99" s="266" t="str">
        <f>IF(OR(J99="",K99=""),"",IF(J99="3",VLOOKUP(M99,'K% (Rede Convencional)'!$B$18:$M$29,8),(IF(J99="2",VLOOKUP(N99,'K% (Rede Convencional)'!$B$18:$M$29,9),(IF(J99="1",VLOOKUP(N99,'K% (Rede Convencional)'!$B$18:$M$29,10),(IF(J99="13",VLOOKUP(N99,'K% (Rede Convencional)'!$B$18:$M$29,11),(IF(J99="12",VLOOKUP(N99,'K% (Rede Convencional)'!$B$18:$M$29,12),0))))))))))</f>
        <v/>
      </c>
      <c r="M99" s="267" t="str">
        <f t="shared" si="17"/>
        <v/>
      </c>
      <c r="N99" s="267" t="str">
        <f>IF(K99="","",IF(K99="4 (4)","a",IF(OR(K99="2 (4)",K99="2 (2)"),VLOOKUP(K99,BT!$AE$21:$AF$22,2,FALSE),IF(OR(K99="1/0 (4)",K99="1/0 (2)"),VLOOKUP(K99,BT!$AE$24:$AF$25,2,FALSE),IF(OR(K99="4/0 (4)",K99="4/0 (2)",K99="4/0 (1/0)"),VLOOKUP(K99,BT!$AE$27:$AF$29,2,FALSE),IF(OR(K99="336,4 (4)",K99="336,4 (2)",K99="336,4 (1/0)",K99="336,4 (4/0)"),VLOOKUP(K99,BT!$AE$31:$AF$34,2,FALSE),0))))))</f>
        <v/>
      </c>
      <c r="O99" s="38"/>
      <c r="P99" s="268" t="str">
        <f t="shared" si="13"/>
        <v/>
      </c>
      <c r="Q99" s="268" t="str">
        <f>IF(P99="","",SUM($P$45:P99)+$W$95)</f>
        <v/>
      </c>
      <c r="R99" s="268" t="str">
        <f t="shared" si="14"/>
        <v/>
      </c>
      <c r="S99" s="269" t="str">
        <f>IF(OR(M99="a",N99="a"),VLOOKUP("a",'Características dos Cabos'!$D$25:$L$29,9),IF(OR(M99="b",M99="c",N99="b",N99="c"),VLOOKUP("b",'Características dos Cabos'!$D$25:$L$29,9),IF(OR(M99="d",M99="e",N99="d",N99="e"),VLOOKUP("c",'Características dos Cabos'!$D$25:$L$29,9),IF(OR(M99="f",M99="g",M99="h",N99="f",N99="g",N99="h"),VLOOKUP("d",'Características dos Cabos'!$D$25:$L$29,9),IF(OR(M99="i",M99="j",M99="l",M99="m",N99="i",N99="j",N99="l",N99="m"),VLOOKUP("e",'Características dos Cabos'!$D$25:$L$29,9),"")))))</f>
        <v/>
      </c>
      <c r="T99" s="268" t="str">
        <f t="shared" si="18"/>
        <v/>
      </c>
      <c r="U99" s="269" t="str">
        <f>IF(OR(M99="a",N99="a"),VLOOKUP("a",'Características dos Cabos'!$D$25:$L$29,3),IF(OR(M99="b",M99="c",N99="b",N99="c"),VLOOKUP("b",'Características dos Cabos'!$D$25:$L$29,3),IF(OR(M99="d",M99="e",N99="d",N99="e"),VLOOKUP("c",'Características dos Cabos'!$D$25:$L$29,3),IF(OR(M99="f",M99="g",M99="h",N99="f",N99="g",N99="h"),VLOOKUP("d",'Características dos Cabos'!$D$25:$L$29,3),IF(OR(M99="i",M99="j",M99="l",M99="m",N99="i",N99="j",N99="l",N99="m"),VLOOKUP("e",'Características dos Cabos'!$D$25:$L$29,3),"")))))</f>
        <v/>
      </c>
      <c r="V99" s="270" t="str">
        <f t="shared" si="15"/>
        <v/>
      </c>
      <c r="W99" s="243"/>
      <c r="X99" s="257">
        <f t="shared" si="19"/>
        <v>0</v>
      </c>
      <c r="Y99" s="257">
        <f t="shared" si="20"/>
        <v>0</v>
      </c>
      <c r="Z99" s="243"/>
    </row>
    <row r="100" spans="1:26" ht="15" customHeight="1">
      <c r="A100" s="639"/>
      <c r="B100" s="642"/>
      <c r="C100" s="27"/>
      <c r="D100" s="23"/>
      <c r="E100" s="38"/>
      <c r="F100" s="92" t="str">
        <f t="shared" si="16"/>
        <v/>
      </c>
      <c r="G100" s="38"/>
      <c r="H100" s="265" t="str">
        <f>IF(AND(E100="",G100=""),"",SUM(F100:G104))</f>
        <v/>
      </c>
      <c r="J100" s="23"/>
      <c r="K100" s="23"/>
      <c r="L100" s="266" t="str">
        <f>IF(OR(J100="",K100=""),"",IF(J100="3",VLOOKUP(M100,'K% (Rede Convencional)'!$B$18:$M$29,8),(IF(J100="2",VLOOKUP(N100,'K% (Rede Convencional)'!$B$18:$M$29,9),(IF(J100="1",VLOOKUP(N100,'K% (Rede Convencional)'!$B$18:$M$29,10),(IF(J100="13",VLOOKUP(N100,'K% (Rede Convencional)'!$B$18:$M$29,11),(IF(J100="12",VLOOKUP(N100,'K% (Rede Convencional)'!$B$18:$M$29,12),0))))))))))</f>
        <v/>
      </c>
      <c r="M100" s="267" t="str">
        <f t="shared" si="17"/>
        <v/>
      </c>
      <c r="N100" s="267" t="str">
        <f>IF(K100="","",IF(K100="4 (4)","a",IF(OR(K100="2 (4)",K100="2 (2)"),VLOOKUP(K100,BT!$AE$21:$AF$22,2,FALSE),IF(OR(K100="1/0 (4)",K100="1/0 (2)"),VLOOKUP(K100,BT!$AE$24:$AF$25,2,FALSE),IF(OR(K100="4/0 (4)",K100="4/0 (2)",K100="4/0 (1/0)"),VLOOKUP(K100,BT!$AE$27:$AF$29,2,FALSE),IF(OR(K100="336,4 (4)",K100="336,4 (2)",K100="336,4 (1/0)",K100="336,4 (4/0)"),VLOOKUP(K100,BT!$AE$31:$AF$34,2,FALSE),0))))))</f>
        <v/>
      </c>
      <c r="O100" s="38"/>
      <c r="P100" s="268" t="str">
        <f t="shared" si="13"/>
        <v/>
      </c>
      <c r="Q100" s="268" t="str">
        <f>IF(P100="","",SUM($P$45:P100)+$W$95)</f>
        <v/>
      </c>
      <c r="R100" s="268" t="str">
        <f t="shared" si="14"/>
        <v/>
      </c>
      <c r="S100" s="269" t="str">
        <f>IF(OR(M100="a",N100="a"),VLOOKUP("a",'Características dos Cabos'!$D$25:$L$29,9),IF(OR(M100="b",M100="c",N100="b",N100="c"),VLOOKUP("b",'Características dos Cabos'!$D$25:$L$29,9),IF(OR(M100="d",M100="e",N100="d",N100="e"),VLOOKUP("c",'Características dos Cabos'!$D$25:$L$29,9),IF(OR(M100="f",M100="g",M100="h",N100="f",N100="g",N100="h"),VLOOKUP("d",'Características dos Cabos'!$D$25:$L$29,9),IF(OR(M100="i",M100="j",M100="l",M100="m",N100="i",N100="j",N100="l",N100="m"),VLOOKUP("e",'Características dos Cabos'!$D$25:$L$29,9),"")))))</f>
        <v/>
      </c>
      <c r="T100" s="268" t="str">
        <f t="shared" si="18"/>
        <v/>
      </c>
      <c r="U100" s="269" t="str">
        <f>IF(OR(M100="a",N100="a"),VLOOKUP("a",'Características dos Cabos'!$D$25:$L$29,3),IF(OR(M100="b",M100="c",N100="b",N100="c"),VLOOKUP("b",'Características dos Cabos'!$D$25:$L$29,3),IF(OR(M100="d",M100="e",N100="d",N100="e"),VLOOKUP("c",'Características dos Cabos'!$D$25:$L$29,3),IF(OR(M100="f",M100="g",M100="h",N100="f",N100="g",N100="h"),VLOOKUP("d",'Características dos Cabos'!$D$25:$L$29,3),IF(OR(M100="i",M100="j",M100="l",M100="m",N100="i",N100="j",N100="l",N100="m"),VLOOKUP("e",'Características dos Cabos'!$D$25:$L$29,3),"")))))</f>
        <v/>
      </c>
      <c r="V100" s="270" t="str">
        <f t="shared" si="15"/>
        <v/>
      </c>
      <c r="W100" s="243"/>
      <c r="X100" s="257">
        <f t="shared" si="19"/>
        <v>0</v>
      </c>
      <c r="Y100" s="257">
        <f t="shared" si="20"/>
        <v>0</v>
      </c>
      <c r="Z100" s="243"/>
    </row>
    <row r="101" spans="1:26" ht="15" customHeight="1">
      <c r="A101" s="639"/>
      <c r="B101" s="642"/>
      <c r="C101" s="27"/>
      <c r="D101" s="23"/>
      <c r="E101" s="38"/>
      <c r="F101" s="92" t="str">
        <f t="shared" si="16"/>
        <v/>
      </c>
      <c r="G101" s="38"/>
      <c r="H101" s="265" t="str">
        <f>IF(AND(E101="",G101=""),"",SUM(F101:G104))</f>
        <v/>
      </c>
      <c r="J101" s="23"/>
      <c r="K101" s="23"/>
      <c r="L101" s="266" t="str">
        <f>IF(OR(J101="",K101=""),"",IF(J101="3",VLOOKUP(M101,'K% (Rede Convencional)'!$B$18:$M$29,8),(IF(J101="2",VLOOKUP(N101,'K% (Rede Convencional)'!$B$18:$M$29,9),(IF(J101="1",VLOOKUP(N101,'K% (Rede Convencional)'!$B$18:$M$29,10),(IF(J101="13",VLOOKUP(N101,'K% (Rede Convencional)'!$B$18:$M$29,11),(IF(J101="12",VLOOKUP(N101,'K% (Rede Convencional)'!$B$18:$M$29,12),0))))))))))</f>
        <v/>
      </c>
      <c r="M101" s="267" t="str">
        <f t="shared" si="17"/>
        <v/>
      </c>
      <c r="N101" s="267" t="str">
        <f>IF(K101="","",IF(K101="4 (4)","a",IF(OR(K101="2 (4)",K101="2 (2)"),VLOOKUP(K101,BT!$AE$21:$AF$22,2,FALSE),IF(OR(K101="1/0 (4)",K101="1/0 (2)"),VLOOKUP(K101,BT!$AE$24:$AF$25,2,FALSE),IF(OR(K101="4/0 (4)",K101="4/0 (2)",K101="4/0 (1/0)"),VLOOKUP(K101,BT!$AE$27:$AF$29,2,FALSE),IF(OR(K101="336,4 (4)",K101="336,4 (2)",K101="336,4 (1/0)",K101="336,4 (4/0)"),VLOOKUP(K101,BT!$AE$31:$AF$34,2,FALSE),0))))))</f>
        <v/>
      </c>
      <c r="O101" s="38"/>
      <c r="P101" s="268" t="str">
        <f t="shared" si="13"/>
        <v/>
      </c>
      <c r="Q101" s="268" t="str">
        <f>IF(P101="","",SUM($P$45:P101)+$W$95)</f>
        <v/>
      </c>
      <c r="R101" s="268" t="str">
        <f t="shared" si="14"/>
        <v/>
      </c>
      <c r="S101" s="269" t="str">
        <f>IF(OR(M101="a",N101="a"),VLOOKUP("a",'Características dos Cabos'!$D$25:$L$29,9),IF(OR(M101="b",M101="c",N101="b",N101="c"),VLOOKUP("b",'Características dos Cabos'!$D$25:$L$29,9),IF(OR(M101="d",M101="e",N101="d",N101="e"),VLOOKUP("c",'Características dos Cabos'!$D$25:$L$29,9),IF(OR(M101="f",M101="g",M101="h",N101="f",N101="g",N101="h"),VLOOKUP("d",'Características dos Cabos'!$D$25:$L$29,9),IF(OR(M101="i",M101="j",M101="l",M101="m",N101="i",N101="j",N101="l",N101="m"),VLOOKUP("e",'Características dos Cabos'!$D$25:$L$29,9),"")))))</f>
        <v/>
      </c>
      <c r="T101" s="268" t="str">
        <f t="shared" si="18"/>
        <v/>
      </c>
      <c r="U101" s="269" t="str">
        <f>IF(OR(M101="a",N101="a"),VLOOKUP("a",'Características dos Cabos'!$D$25:$L$29,3),IF(OR(M101="b",M101="c",N101="b",N101="c"),VLOOKUP("b",'Características dos Cabos'!$D$25:$L$29,3),IF(OR(M101="d",M101="e",N101="d",N101="e"),VLOOKUP("c",'Características dos Cabos'!$D$25:$L$29,3),IF(OR(M101="f",M101="g",M101="h",N101="f",N101="g",N101="h"),VLOOKUP("d",'Características dos Cabos'!$D$25:$L$29,3),IF(OR(M101="i",M101="j",M101="l",M101="m",N101="i",N101="j",N101="l",N101="m"),VLOOKUP("e",'Características dos Cabos'!$D$25:$L$29,3),"")))))</f>
        <v/>
      </c>
      <c r="V101" s="270" t="str">
        <f t="shared" si="15"/>
        <v/>
      </c>
      <c r="W101" s="243"/>
      <c r="X101" s="257">
        <f t="shared" si="19"/>
        <v>0</v>
      </c>
      <c r="Y101" s="257">
        <f t="shared" si="20"/>
        <v>0</v>
      </c>
      <c r="Z101" s="243"/>
    </row>
    <row r="102" spans="1:26" ht="15" customHeight="1">
      <c r="A102" s="639"/>
      <c r="B102" s="642"/>
      <c r="C102" s="27"/>
      <c r="D102" s="23"/>
      <c r="E102" s="38"/>
      <c r="F102" s="92" t="str">
        <f t="shared" si="16"/>
        <v/>
      </c>
      <c r="G102" s="38"/>
      <c r="H102" s="265" t="str">
        <f>IF(AND(E102="",G102=""),"",SUM(F102:G104))</f>
        <v/>
      </c>
      <c r="J102" s="23"/>
      <c r="K102" s="23"/>
      <c r="L102" s="266" t="str">
        <f>IF(OR(J102="",K102=""),"",IF(J102="3",VLOOKUP(M102,'K% (Rede Convencional)'!$B$18:$M$29,8),(IF(J102="2",VLOOKUP(N102,'K% (Rede Convencional)'!$B$18:$M$29,9),(IF(J102="1",VLOOKUP(N102,'K% (Rede Convencional)'!$B$18:$M$29,10),(IF(J102="13",VLOOKUP(N102,'K% (Rede Convencional)'!$B$18:$M$29,11),(IF(J102="12",VLOOKUP(N102,'K% (Rede Convencional)'!$B$18:$M$29,12),0))))))))))</f>
        <v/>
      </c>
      <c r="M102" s="267" t="str">
        <f t="shared" si="17"/>
        <v/>
      </c>
      <c r="N102" s="267" t="str">
        <f>IF(K102="","",IF(K102="4 (4)","a",IF(OR(K102="2 (4)",K102="2 (2)"),VLOOKUP(K102,BT!$AE$21:$AF$22,2,FALSE),IF(OR(K102="1/0 (4)",K102="1/0 (2)"),VLOOKUP(K102,BT!$AE$24:$AF$25,2,FALSE),IF(OR(K102="4/0 (4)",K102="4/0 (2)",K102="4/0 (1/0)"),VLOOKUP(K102,BT!$AE$27:$AF$29,2,FALSE),IF(OR(K102="336,4 (4)",K102="336,4 (2)",K102="336,4 (1/0)",K102="336,4 (4/0)"),VLOOKUP(K102,BT!$AE$31:$AF$34,2,FALSE),0))))))</f>
        <v/>
      </c>
      <c r="O102" s="38"/>
      <c r="P102" s="268" t="str">
        <f t="shared" si="13"/>
        <v/>
      </c>
      <c r="Q102" s="268" t="str">
        <f>IF(P102="","",SUM($P$45:P102)+$W$95)</f>
        <v/>
      </c>
      <c r="R102" s="268" t="str">
        <f t="shared" si="14"/>
        <v/>
      </c>
      <c r="S102" s="269" t="str">
        <f>IF(OR(M102="a",N102="a"),VLOOKUP("a",'Características dos Cabos'!$D$25:$L$29,9),IF(OR(M102="b",M102="c",N102="b",N102="c"),VLOOKUP("b",'Características dos Cabos'!$D$25:$L$29,9),IF(OR(M102="d",M102="e",N102="d",N102="e"),VLOOKUP("c",'Características dos Cabos'!$D$25:$L$29,9),IF(OR(M102="f",M102="g",M102="h",N102="f",N102="g",N102="h"),VLOOKUP("d",'Características dos Cabos'!$D$25:$L$29,9),IF(OR(M102="i",M102="j",M102="l",M102="m",N102="i",N102="j",N102="l",N102="m"),VLOOKUP("e",'Características dos Cabos'!$D$25:$L$29,9),"")))))</f>
        <v/>
      </c>
      <c r="T102" s="268" t="str">
        <f t="shared" si="18"/>
        <v/>
      </c>
      <c r="U102" s="269" t="str">
        <f>IF(OR(M102="a",N102="a"),VLOOKUP("a",'Características dos Cabos'!$D$25:$L$29,3),IF(OR(M102="b",M102="c",N102="b",N102="c"),VLOOKUP("b",'Características dos Cabos'!$D$25:$L$29,3),IF(OR(M102="d",M102="e",N102="d",N102="e"),VLOOKUP("c",'Características dos Cabos'!$D$25:$L$29,3),IF(OR(M102="f",M102="g",M102="h",N102="f",N102="g",N102="h"),VLOOKUP("d",'Características dos Cabos'!$D$25:$L$29,3),IF(OR(M102="i",M102="j",M102="l",M102="m",N102="i",N102="j",N102="l",N102="m"),VLOOKUP("e",'Características dos Cabos'!$D$25:$L$29,3),"")))))</f>
        <v/>
      </c>
      <c r="V102" s="270" t="str">
        <f t="shared" si="15"/>
        <v/>
      </c>
      <c r="W102" s="243"/>
      <c r="X102" s="257">
        <f t="shared" si="19"/>
        <v>0</v>
      </c>
      <c r="Y102" s="257">
        <f t="shared" si="20"/>
        <v>0</v>
      </c>
      <c r="Z102" s="243"/>
    </row>
    <row r="103" spans="1:26" ht="15" customHeight="1">
      <c r="A103" s="639"/>
      <c r="B103" s="642"/>
      <c r="C103" s="27"/>
      <c r="D103" s="23"/>
      <c r="E103" s="38"/>
      <c r="F103" s="92" t="str">
        <f t="shared" si="16"/>
        <v/>
      </c>
      <c r="G103" s="38"/>
      <c r="H103" s="265" t="str">
        <f>IF(AND(E103="",G103=""),"",SUM(F103:G104))</f>
        <v/>
      </c>
      <c r="J103" s="23"/>
      <c r="K103" s="23"/>
      <c r="L103" s="266" t="str">
        <f>IF(OR(J103="",K103=""),"",IF(J103="3",VLOOKUP(M103,'K% (Rede Convencional)'!$B$18:$M$29,8),(IF(J103="2",VLOOKUP(N103,'K% (Rede Convencional)'!$B$18:$M$29,9),(IF(J103="1",VLOOKUP(N103,'K% (Rede Convencional)'!$B$18:$M$29,10),(IF(J103="13",VLOOKUP(N103,'K% (Rede Convencional)'!$B$18:$M$29,11),(IF(J103="12",VLOOKUP(N103,'K% (Rede Convencional)'!$B$18:$M$29,12),0))))))))))</f>
        <v/>
      </c>
      <c r="M103" s="267" t="str">
        <f t="shared" si="17"/>
        <v/>
      </c>
      <c r="N103" s="267" t="str">
        <f>IF(K103="","",IF(K103="4 (4)","a",IF(OR(K103="2 (4)",K103="2 (2)"),VLOOKUP(K103,BT!$AE$21:$AF$22,2,FALSE),IF(OR(K103="1/0 (4)",K103="1/0 (2)"),VLOOKUP(K103,BT!$AE$24:$AF$25,2,FALSE),IF(OR(K103="4/0 (4)",K103="4/0 (2)",K103="4/0 (1/0)"),VLOOKUP(K103,BT!$AE$27:$AF$29,2,FALSE),IF(OR(K103="336,4 (4)",K103="336,4 (2)",K103="336,4 (1/0)",K103="336,4 (4/0)"),VLOOKUP(K103,BT!$AE$31:$AF$34,2,FALSE),0))))))</f>
        <v/>
      </c>
      <c r="O103" s="38"/>
      <c r="P103" s="268" t="str">
        <f t="shared" si="13"/>
        <v/>
      </c>
      <c r="Q103" s="268" t="str">
        <f>IF(P103="","",SUM($P$45:P103)+$W$95)</f>
        <v/>
      </c>
      <c r="R103" s="268" t="str">
        <f t="shared" si="14"/>
        <v/>
      </c>
      <c r="S103" s="269" t="str">
        <f>IF(OR(M103="a",N103="a"),VLOOKUP("a",'Características dos Cabos'!$D$25:$L$29,9),IF(OR(M103="b",M103="c",N103="b",N103="c"),VLOOKUP("b",'Características dos Cabos'!$D$25:$L$29,9),IF(OR(M103="d",M103="e",N103="d",N103="e"),VLOOKUP("c",'Características dos Cabos'!$D$25:$L$29,9),IF(OR(M103="f",M103="g",M103="h",N103="f",N103="g",N103="h"),VLOOKUP("d",'Características dos Cabos'!$D$25:$L$29,9),IF(OR(M103="i",M103="j",M103="l",M103="m",N103="i",N103="j",N103="l",N103="m"),VLOOKUP("e",'Características dos Cabos'!$D$25:$L$29,9),"")))))</f>
        <v/>
      </c>
      <c r="T103" s="268" t="str">
        <f t="shared" si="18"/>
        <v/>
      </c>
      <c r="U103" s="269" t="str">
        <f>IF(OR(M103="a",N103="a"),VLOOKUP("a",'Características dos Cabos'!$D$25:$L$29,3),IF(OR(M103="b",M103="c",N103="b",N103="c"),VLOOKUP("b",'Características dos Cabos'!$D$25:$L$29,3),IF(OR(M103="d",M103="e",N103="d",N103="e"),VLOOKUP("c",'Características dos Cabos'!$D$25:$L$29,3),IF(OR(M103="f",M103="g",M103="h",N103="f",N103="g",N103="h"),VLOOKUP("d",'Características dos Cabos'!$D$25:$L$29,3),IF(OR(M103="i",M103="j",M103="l",M103="m",N103="i",N103="j",N103="l",N103="m"),VLOOKUP("e",'Características dos Cabos'!$D$25:$L$29,3),"")))))</f>
        <v/>
      </c>
      <c r="V103" s="270" t="str">
        <f t="shared" si="15"/>
        <v/>
      </c>
      <c r="W103" s="243"/>
      <c r="X103" s="257">
        <f t="shared" si="19"/>
        <v>0</v>
      </c>
      <c r="Y103" s="257">
        <f t="shared" si="20"/>
        <v>0</v>
      </c>
      <c r="Z103" s="243"/>
    </row>
    <row r="104" spans="1:26" ht="15" customHeight="1" thickBot="1">
      <c r="A104" s="639"/>
      <c r="B104" s="643"/>
      <c r="C104" s="45"/>
      <c r="D104" s="46"/>
      <c r="E104" s="47"/>
      <c r="F104" s="54" t="str">
        <f t="shared" si="16"/>
        <v/>
      </c>
      <c r="G104" s="47"/>
      <c r="H104" s="271" t="str">
        <f>IF(AND(E104="",G104=""),"",SUM(F104:G104))</f>
        <v/>
      </c>
      <c r="J104" s="46"/>
      <c r="K104" s="46"/>
      <c r="L104" s="272" t="str">
        <f>IF(OR(J104="",K104=""),"",IF(J104="3",VLOOKUP(M104,'K% (Rede Convencional)'!$B$18:$M$29,8),(IF(J104="2",VLOOKUP(N104,'K% (Rede Convencional)'!$B$18:$M$29,9),(IF(J104="1",VLOOKUP(N104,'K% (Rede Convencional)'!$B$18:$M$29,10),(IF(J104="13",VLOOKUP(N104,'K% (Rede Convencional)'!$B$18:$M$29,11),(IF(J104="12",VLOOKUP(N104,'K% (Rede Convencional)'!$B$18:$M$29,12),0))))))))))</f>
        <v/>
      </c>
      <c r="M104" s="273" t="str">
        <f t="shared" si="17"/>
        <v/>
      </c>
      <c r="N104" s="273" t="str">
        <f>IF(K104="","",IF(K104="4 (4)","a",IF(OR(K104="2 (4)",K104="2 (2)"),VLOOKUP(K104,BT!$AE$21:$AF$22,2,FALSE),IF(OR(K104="1/0 (4)",K104="1/0 (2)"),VLOOKUP(K104,BT!$AE$24:$AF$25,2,FALSE),IF(OR(K104="4/0 (4)",K104="4/0 (2)",K104="4/0 (1/0)"),VLOOKUP(K104,BT!$AE$27:$AF$29,2,FALSE),IF(OR(K104="336,4 (4)",K104="336,4 (2)",K104="336,4 (1/0)",K104="336,4 (4/0)"),VLOOKUP(K104,BT!$AE$31:$AF$34,2,FALSE),0))))))</f>
        <v/>
      </c>
      <c r="O104" s="47"/>
      <c r="P104" s="274" t="str">
        <f t="shared" si="13"/>
        <v/>
      </c>
      <c r="Q104" s="274" t="str">
        <f>IF(P104="","",SUM($P$45:P104)+$W$95)</f>
        <v/>
      </c>
      <c r="R104" s="274" t="str">
        <f t="shared" si="14"/>
        <v/>
      </c>
      <c r="S104" s="275" t="str">
        <f>IF(OR(M104="a",N104="a"),VLOOKUP("a",'Características dos Cabos'!$D$25:$L$29,9),IF(OR(M104="b",M104="c",N104="b",N104="c"),VLOOKUP("b",'Características dos Cabos'!$D$25:$L$29,9),IF(OR(M104="d",M104="e",N104="d",N104="e"),VLOOKUP("c",'Características dos Cabos'!$D$25:$L$29,9),IF(OR(M104="f",M104="g",M104="h",N104="f",N104="g",N104="h"),VLOOKUP("d",'Características dos Cabos'!$D$25:$L$29,9),IF(OR(M104="i",M104="j",M104="l",M104="m",N104="i",N104="j",N104="l",N104="m"),VLOOKUP("e",'Características dos Cabos'!$D$25:$L$29,9),"")))))</f>
        <v/>
      </c>
      <c r="T104" s="274" t="str">
        <f t="shared" si="18"/>
        <v/>
      </c>
      <c r="U104" s="275" t="str">
        <f>IF(OR(M104="a",N104="a"),VLOOKUP("a",'Características dos Cabos'!$D$25:$L$29,3),IF(OR(M104="b",M104="c",N104="b",N104="c"),VLOOKUP("b",'Características dos Cabos'!$D$25:$L$29,3),IF(OR(M104="d",M104="e",N104="d",N104="e"),VLOOKUP("c",'Características dos Cabos'!$D$25:$L$29,3),IF(OR(M104="f",M104="g",M104="h",N104="f",N104="g",N104="h"),VLOOKUP("d",'Características dos Cabos'!$D$25:$L$29,3),IF(OR(M104="i",M104="j",M104="l",M104="m",N104="i",N104="j",N104="l",N104="m"),VLOOKUP("e",'Características dos Cabos'!$D$25:$L$29,3),"")))))</f>
        <v/>
      </c>
      <c r="V104" s="276" t="str">
        <f t="shared" si="15"/>
        <v/>
      </c>
      <c r="W104" s="243"/>
      <c r="X104" s="257">
        <f t="shared" si="19"/>
        <v>0</v>
      </c>
      <c r="Y104" s="257">
        <f t="shared" si="20"/>
        <v>0</v>
      </c>
      <c r="Z104" s="243"/>
    </row>
    <row r="105" spans="1:26" ht="15" customHeight="1" thickTop="1">
      <c r="A105" s="639"/>
      <c r="B105" s="641" t="str">
        <f>CONCATENATE("Ramal 7 - Derivando no ponto ",C105)</f>
        <v xml:space="preserve">Ramal 7 - Derivando no ponto </v>
      </c>
      <c r="C105" s="26"/>
      <c r="D105" s="25"/>
      <c r="E105" s="37"/>
      <c r="F105" s="92" t="str">
        <f t="shared" si="16"/>
        <v/>
      </c>
      <c r="G105" s="37"/>
      <c r="H105" s="278" t="str">
        <f>IF(AND(E105="",G105=""),"",SUM(F105:G114))</f>
        <v/>
      </c>
      <c r="J105" s="25"/>
      <c r="K105" s="25"/>
      <c r="L105" s="279" t="str">
        <f>IF(OR(J105="",K105=""),"",IF(J105="3",VLOOKUP(M105,'K% (Rede Convencional)'!$B$18:$M$29,8),(IF(J105="2",VLOOKUP(N105,'K% (Rede Convencional)'!$B$18:$M$29,9),(IF(J105="1",VLOOKUP(N105,'K% (Rede Convencional)'!$B$18:$M$29,10),(IF(J105="13",VLOOKUP(N105,'K% (Rede Convencional)'!$B$18:$M$29,11),(IF(J105="12",VLOOKUP(N105,'K% (Rede Convencional)'!$B$18:$M$29,12),0))))))))))</f>
        <v/>
      </c>
      <c r="M105" s="253" t="str">
        <f t="shared" si="17"/>
        <v/>
      </c>
      <c r="N105" s="253" t="str">
        <f>IF(K105="","",IF(K105="4 (4)","a",IF(OR(K105="2 (4)",K105="2 (2)"),VLOOKUP(K105,BT!$AE$21:$AF$22,2,FALSE),IF(OR(K105="1/0 (4)",K105="1/0 (2)"),VLOOKUP(K105,BT!$AE$24:$AF$25,2,FALSE),IF(OR(K105="4/0 (4)",K105="4/0 (2)",K105="4/0 (1/0)"),VLOOKUP(K105,BT!$AE$27:$AF$29,2,FALSE),IF(OR(K105="336,4 (4)",K105="336,4 (2)",K105="336,4 (1/0)",K105="336,4 (4/0)"),VLOOKUP(K105,BT!$AE$31:$AF$34,2,FALSE),0))))))</f>
        <v/>
      </c>
      <c r="O105" s="37"/>
      <c r="P105" s="280" t="str">
        <f t="shared" si="13"/>
        <v/>
      </c>
      <c r="Q105" s="280" t="str">
        <f>IF(P105="","",P105+VLOOKUP(C105,$D$21:$Q$43,13,FALSE))</f>
        <v/>
      </c>
      <c r="R105" s="280" t="str">
        <f t="shared" si="14"/>
        <v/>
      </c>
      <c r="S105" s="281" t="str">
        <f>IF(OR(M105="a",N105="a"),VLOOKUP("a",'Características dos Cabos'!$D$25:$L$29,9),IF(OR(M105="b",M105="c",N105="b",N105="c"),VLOOKUP("b",'Características dos Cabos'!$D$25:$L$29,9),IF(OR(M105="d",M105="e",N105="d",N105="e"),VLOOKUP("c",'Características dos Cabos'!$D$25:$L$29,9),IF(OR(M105="f",M105="g",M105="h",N105="f",N105="g",N105="h"),VLOOKUP("d",'Características dos Cabos'!$D$25:$L$29,9),IF(OR(M105="i",M105="j",M105="l",M105="m",N105="i",N105="j",N105="l",N105="m"),VLOOKUP("e",'Características dos Cabos'!$D$25:$L$29,9),"")))))</f>
        <v/>
      </c>
      <c r="T105" s="280" t="str">
        <f t="shared" si="18"/>
        <v/>
      </c>
      <c r="U105" s="281" t="str">
        <f>IF(OR(M105="a",N105="a"),VLOOKUP("a",'Características dos Cabos'!$D$25:$L$29,3),IF(OR(M105="b",M105="c",N105="b",N105="c"),VLOOKUP("b",'Características dos Cabos'!$D$25:$L$29,3),IF(OR(M105="d",M105="e",N105="d",N105="e"),VLOOKUP("c",'Características dos Cabos'!$D$25:$L$29,3),IF(OR(M105="f",M105="g",M105="h",N105="f",N105="g",N105="h"),VLOOKUP("d",'Características dos Cabos'!$D$25:$L$29,3),IF(OR(M105="i",M105="j",M105="l",M105="m",N105="i",N105="j",N105="l",N105="m"),VLOOKUP("e",'Características dos Cabos'!$D$25:$L$29,3),"")))))</f>
        <v/>
      </c>
      <c r="V105" s="282" t="str">
        <f t="shared" si="15"/>
        <v/>
      </c>
      <c r="W105" s="445" t="e">
        <f>VLOOKUP(C105,$D$21:$Q$43,12,FALSE)</f>
        <v>#N/A</v>
      </c>
      <c r="X105" s="257">
        <f t="shared" si="19"/>
        <v>0</v>
      </c>
      <c r="Y105" s="257">
        <f t="shared" si="20"/>
        <v>0</v>
      </c>
      <c r="Z105" s="243"/>
    </row>
    <row r="106" spans="1:26" ht="15" customHeight="1">
      <c r="A106" s="639"/>
      <c r="B106" s="642"/>
      <c r="C106" s="27"/>
      <c r="D106" s="23"/>
      <c r="E106" s="38"/>
      <c r="F106" s="92" t="str">
        <f t="shared" si="16"/>
        <v/>
      </c>
      <c r="G106" s="38"/>
      <c r="H106" s="265" t="str">
        <f>IF(AND(E106="",G106=""),"",SUM(F106:G114))</f>
        <v/>
      </c>
      <c r="J106" s="23"/>
      <c r="K106" s="23"/>
      <c r="L106" s="266" t="str">
        <f>IF(OR(J106="",K106=""),"",IF(J106="3",VLOOKUP(M106,'K% (Rede Convencional)'!$B$18:$M$29,8),(IF(J106="2",VLOOKUP(N106,'K% (Rede Convencional)'!$B$18:$M$29,9),(IF(J106="1",VLOOKUP(N106,'K% (Rede Convencional)'!$B$18:$M$29,10),(IF(J106="13",VLOOKUP(N106,'K% (Rede Convencional)'!$B$18:$M$29,11),(IF(J106="12",VLOOKUP(N106,'K% (Rede Convencional)'!$B$18:$M$29,12),0))))))))))</f>
        <v/>
      </c>
      <c r="M106" s="267" t="str">
        <f t="shared" si="17"/>
        <v/>
      </c>
      <c r="N106" s="267" t="str">
        <f>IF(K106="","",IF(K106="4 (4)","a",IF(OR(K106="2 (4)",K106="2 (2)"),VLOOKUP(K106,BT!$AE$21:$AF$22,2,FALSE),IF(OR(K106="1/0 (4)",K106="1/0 (2)"),VLOOKUP(K106,BT!$AE$24:$AF$25,2,FALSE),IF(OR(K106="4/0 (4)",K106="4/0 (2)",K106="4/0 (1/0)"),VLOOKUP(K106,BT!$AE$27:$AF$29,2,FALSE),IF(OR(K106="336,4 (4)",K106="336,4 (2)",K106="336,4 (1/0)",K106="336,4 (4/0)"),VLOOKUP(K106,BT!$AE$31:$AF$34,2,FALSE),0))))))</f>
        <v/>
      </c>
      <c r="O106" s="38"/>
      <c r="P106" s="268" t="str">
        <f t="shared" si="13"/>
        <v/>
      </c>
      <c r="Q106" s="268" t="str">
        <f>IF(P106="","",SUM($P$45:P106)+$W$105)</f>
        <v/>
      </c>
      <c r="R106" s="268" t="str">
        <f t="shared" si="14"/>
        <v/>
      </c>
      <c r="S106" s="269" t="str">
        <f>IF(OR(M106="a",N106="a"),VLOOKUP("a",'Características dos Cabos'!$D$25:$L$29,9),IF(OR(M106="b",M106="c",N106="b",N106="c"),VLOOKUP("b",'Características dos Cabos'!$D$25:$L$29,9),IF(OR(M106="d",M106="e",N106="d",N106="e"),VLOOKUP("c",'Características dos Cabos'!$D$25:$L$29,9),IF(OR(M106="f",M106="g",M106="h",N106="f",N106="g",N106="h"),VLOOKUP("d",'Características dos Cabos'!$D$25:$L$29,9),IF(OR(M106="i",M106="j",M106="l",M106="m",N106="i",N106="j",N106="l",N106="m"),VLOOKUP("e",'Características dos Cabos'!$D$25:$L$29,9),"")))))</f>
        <v/>
      </c>
      <c r="T106" s="268" t="str">
        <f t="shared" si="18"/>
        <v/>
      </c>
      <c r="U106" s="269" t="str">
        <f>IF(OR(M106="a",N106="a"),VLOOKUP("a",'Características dos Cabos'!$D$25:$L$29,3),IF(OR(M106="b",M106="c",N106="b",N106="c"),VLOOKUP("b",'Características dos Cabos'!$D$25:$L$29,3),IF(OR(M106="d",M106="e",N106="d",N106="e"),VLOOKUP("c",'Características dos Cabos'!$D$25:$L$29,3),IF(OR(M106="f",M106="g",M106="h",N106="f",N106="g",N106="h"),VLOOKUP("d",'Características dos Cabos'!$D$25:$L$29,3),IF(OR(M106="i",M106="j",M106="l",M106="m",N106="i",N106="j",N106="l",N106="m"),VLOOKUP("e",'Características dos Cabos'!$D$25:$L$29,3),"")))))</f>
        <v/>
      </c>
      <c r="V106" s="270" t="str">
        <f t="shared" si="15"/>
        <v/>
      </c>
      <c r="W106" s="243"/>
      <c r="X106" s="257">
        <f t="shared" si="19"/>
        <v>0</v>
      </c>
      <c r="Y106" s="257">
        <f t="shared" si="20"/>
        <v>0</v>
      </c>
      <c r="Z106" s="243"/>
    </row>
    <row r="107" spans="1:26" ht="15" customHeight="1">
      <c r="A107" s="639"/>
      <c r="B107" s="642"/>
      <c r="C107" s="27"/>
      <c r="D107" s="23"/>
      <c r="E107" s="38"/>
      <c r="F107" s="92" t="str">
        <f t="shared" si="16"/>
        <v/>
      </c>
      <c r="G107" s="38"/>
      <c r="H107" s="265" t="str">
        <f>IF(AND(E107="",G107=""),"",SUM(F107:G114))</f>
        <v/>
      </c>
      <c r="J107" s="23"/>
      <c r="K107" s="23"/>
      <c r="L107" s="266" t="str">
        <f>IF(OR(J107="",K107=""),"",IF(J107="3",VLOOKUP(M107,'K% (Rede Convencional)'!$B$18:$M$29,8),(IF(J107="2",VLOOKUP(N107,'K% (Rede Convencional)'!$B$18:$M$29,9),(IF(J107="1",VLOOKUP(N107,'K% (Rede Convencional)'!$B$18:$M$29,10),(IF(J107="13",VLOOKUP(N107,'K% (Rede Convencional)'!$B$18:$M$29,11),(IF(J107="12",VLOOKUP(N107,'K% (Rede Convencional)'!$B$18:$M$29,12),0))))))))))</f>
        <v/>
      </c>
      <c r="M107" s="267" t="str">
        <f t="shared" si="17"/>
        <v/>
      </c>
      <c r="N107" s="267" t="str">
        <f>IF(K107="","",IF(K107="4 (4)","a",IF(OR(K107="2 (4)",K107="2 (2)"),VLOOKUP(K107,BT!$AE$21:$AF$22,2,FALSE),IF(OR(K107="1/0 (4)",K107="1/0 (2)"),VLOOKUP(K107,BT!$AE$24:$AF$25,2,FALSE),IF(OR(K107="4/0 (4)",K107="4/0 (2)",K107="4/0 (1/0)"),VLOOKUP(K107,BT!$AE$27:$AF$29,2,FALSE),IF(OR(K107="336,4 (4)",K107="336,4 (2)",K107="336,4 (1/0)",K107="336,4 (4/0)"),VLOOKUP(K107,BT!$AE$31:$AF$34,2,FALSE),0))))))</f>
        <v/>
      </c>
      <c r="O107" s="38"/>
      <c r="P107" s="268" t="str">
        <f t="shared" si="13"/>
        <v/>
      </c>
      <c r="Q107" s="268" t="str">
        <f>IF(P107="","",SUM($P$45:P107)+$W$105)</f>
        <v/>
      </c>
      <c r="R107" s="268" t="str">
        <f t="shared" si="14"/>
        <v/>
      </c>
      <c r="S107" s="269" t="str">
        <f>IF(OR(M107="a",N107="a"),VLOOKUP("a",'Características dos Cabos'!$D$25:$L$29,9),IF(OR(M107="b",M107="c",N107="b",N107="c"),VLOOKUP("b",'Características dos Cabos'!$D$25:$L$29,9),IF(OR(M107="d",M107="e",N107="d",N107="e"),VLOOKUP("c",'Características dos Cabos'!$D$25:$L$29,9),IF(OR(M107="f",M107="g",M107="h",N107="f",N107="g",N107="h"),VLOOKUP("d",'Características dos Cabos'!$D$25:$L$29,9),IF(OR(M107="i",M107="j",M107="l",M107="m",N107="i",N107="j",N107="l",N107="m"),VLOOKUP("e",'Características dos Cabos'!$D$25:$L$29,9),"")))))</f>
        <v/>
      </c>
      <c r="T107" s="268" t="str">
        <f t="shared" si="18"/>
        <v/>
      </c>
      <c r="U107" s="269" t="str">
        <f>IF(OR(M107="a",N107="a"),VLOOKUP("a",'Características dos Cabos'!$D$25:$L$29,3),IF(OR(M107="b",M107="c",N107="b",N107="c"),VLOOKUP("b",'Características dos Cabos'!$D$25:$L$29,3),IF(OR(M107="d",M107="e",N107="d",N107="e"),VLOOKUP("c",'Características dos Cabos'!$D$25:$L$29,3),IF(OR(M107="f",M107="g",M107="h",N107="f",N107="g",N107="h"),VLOOKUP("d",'Características dos Cabos'!$D$25:$L$29,3),IF(OR(M107="i",M107="j",M107="l",M107="m",N107="i",N107="j",N107="l",N107="m"),VLOOKUP("e",'Características dos Cabos'!$D$25:$L$29,3),"")))))</f>
        <v/>
      </c>
      <c r="V107" s="270" t="str">
        <f t="shared" si="15"/>
        <v/>
      </c>
      <c r="W107" s="243"/>
      <c r="X107" s="257">
        <f t="shared" si="19"/>
        <v>0</v>
      </c>
      <c r="Y107" s="257">
        <f t="shared" si="20"/>
        <v>0</v>
      </c>
      <c r="Z107" s="243"/>
    </row>
    <row r="108" spans="1:26" ht="15" customHeight="1">
      <c r="A108" s="639"/>
      <c r="B108" s="642"/>
      <c r="C108" s="27"/>
      <c r="D108" s="23"/>
      <c r="E108" s="38"/>
      <c r="F108" s="92" t="str">
        <f t="shared" si="16"/>
        <v/>
      </c>
      <c r="G108" s="38"/>
      <c r="H108" s="265" t="str">
        <f>IF(AND(E108="",G108=""),"",SUM(F108:G114))</f>
        <v/>
      </c>
      <c r="J108" s="23"/>
      <c r="K108" s="23"/>
      <c r="L108" s="266" t="str">
        <f>IF(OR(J108="",K108=""),"",IF(J108="3",VLOOKUP(M108,'K% (Rede Convencional)'!$B$18:$M$29,8),(IF(J108="2",VLOOKUP(N108,'K% (Rede Convencional)'!$B$18:$M$29,9),(IF(J108="1",VLOOKUP(N108,'K% (Rede Convencional)'!$B$18:$M$29,10),(IF(J108="13",VLOOKUP(N108,'K% (Rede Convencional)'!$B$18:$M$29,11),(IF(J108="12",VLOOKUP(N108,'K% (Rede Convencional)'!$B$18:$M$29,12),0))))))))))</f>
        <v/>
      </c>
      <c r="M108" s="267" t="str">
        <f t="shared" si="17"/>
        <v/>
      </c>
      <c r="N108" s="267" t="str">
        <f>IF(K108="","",IF(K108="4 (4)","a",IF(OR(K108="2 (4)",K108="2 (2)"),VLOOKUP(K108,BT!$AE$21:$AF$22,2,FALSE),IF(OR(K108="1/0 (4)",K108="1/0 (2)"),VLOOKUP(K108,BT!$AE$24:$AF$25,2,FALSE),IF(OR(K108="4/0 (4)",K108="4/0 (2)",K108="4/0 (1/0)"),VLOOKUP(K108,BT!$AE$27:$AF$29,2,FALSE),IF(OR(K108="336,4 (4)",K108="336,4 (2)",K108="336,4 (1/0)",K108="336,4 (4/0)"),VLOOKUP(K108,BT!$AE$31:$AF$34,2,FALSE),0))))))</f>
        <v/>
      </c>
      <c r="O108" s="38"/>
      <c r="P108" s="268" t="str">
        <f t="shared" si="13"/>
        <v/>
      </c>
      <c r="Q108" s="268" t="str">
        <f>IF(P108="","",SUM($P$45:P108)+$W$105)</f>
        <v/>
      </c>
      <c r="R108" s="268" t="str">
        <f t="shared" si="14"/>
        <v/>
      </c>
      <c r="S108" s="269" t="str">
        <f>IF(OR(M108="a",N108="a"),VLOOKUP("a",'Características dos Cabos'!$D$25:$L$29,9),IF(OR(M108="b",M108="c",N108="b",N108="c"),VLOOKUP("b",'Características dos Cabos'!$D$25:$L$29,9),IF(OR(M108="d",M108="e",N108="d",N108="e"),VLOOKUP("c",'Características dos Cabos'!$D$25:$L$29,9),IF(OR(M108="f",M108="g",M108="h",N108="f",N108="g",N108="h"),VLOOKUP("d",'Características dos Cabos'!$D$25:$L$29,9),IF(OR(M108="i",M108="j",M108="l",M108="m",N108="i",N108="j",N108="l",N108="m"),VLOOKUP("e",'Características dos Cabos'!$D$25:$L$29,9),"")))))</f>
        <v/>
      </c>
      <c r="T108" s="268" t="str">
        <f t="shared" si="18"/>
        <v/>
      </c>
      <c r="U108" s="269" t="str">
        <f>IF(OR(M108="a",N108="a"),VLOOKUP("a",'Características dos Cabos'!$D$25:$L$29,3),IF(OR(M108="b",M108="c",N108="b",N108="c"),VLOOKUP("b",'Características dos Cabos'!$D$25:$L$29,3),IF(OR(M108="d",M108="e",N108="d",N108="e"),VLOOKUP("c",'Características dos Cabos'!$D$25:$L$29,3),IF(OR(M108="f",M108="g",M108="h",N108="f",N108="g",N108="h"),VLOOKUP("d",'Características dos Cabos'!$D$25:$L$29,3),IF(OR(M108="i",M108="j",M108="l",M108="m",N108="i",N108="j",N108="l",N108="m"),VLOOKUP("e",'Características dos Cabos'!$D$25:$L$29,3),"")))))</f>
        <v/>
      </c>
      <c r="V108" s="270" t="str">
        <f t="shared" si="15"/>
        <v/>
      </c>
      <c r="W108" s="243"/>
      <c r="X108" s="257">
        <f t="shared" si="19"/>
        <v>0</v>
      </c>
      <c r="Y108" s="257">
        <f t="shared" si="20"/>
        <v>0</v>
      </c>
      <c r="Z108" s="243"/>
    </row>
    <row r="109" spans="1:26" ht="15" customHeight="1">
      <c r="A109" s="639"/>
      <c r="B109" s="642"/>
      <c r="C109" s="27"/>
      <c r="D109" s="23"/>
      <c r="E109" s="38"/>
      <c r="F109" s="92" t="str">
        <f t="shared" si="16"/>
        <v/>
      </c>
      <c r="G109" s="38"/>
      <c r="H109" s="265" t="str">
        <f>IF(AND(E109="",G109=""),"",SUM(F109:G114))</f>
        <v/>
      </c>
      <c r="J109" s="23"/>
      <c r="K109" s="23"/>
      <c r="L109" s="266" t="str">
        <f>IF(OR(J109="",K109=""),"",IF(J109="3",VLOOKUP(M109,'K% (Rede Convencional)'!$B$18:$M$29,8),(IF(J109="2",VLOOKUP(N109,'K% (Rede Convencional)'!$B$18:$M$29,9),(IF(J109="1",VLOOKUP(N109,'K% (Rede Convencional)'!$B$18:$M$29,10),(IF(J109="13",VLOOKUP(N109,'K% (Rede Convencional)'!$B$18:$M$29,11),(IF(J109="12",VLOOKUP(N109,'K% (Rede Convencional)'!$B$18:$M$29,12),0))))))))))</f>
        <v/>
      </c>
      <c r="M109" s="267" t="str">
        <f t="shared" si="17"/>
        <v/>
      </c>
      <c r="N109" s="267" t="str">
        <f>IF(K109="","",IF(K109="4 (4)","a",IF(OR(K109="2 (4)",K109="2 (2)"),VLOOKUP(K109,BT!$AE$21:$AF$22,2,FALSE),IF(OR(K109="1/0 (4)",K109="1/0 (2)"),VLOOKUP(K109,BT!$AE$24:$AF$25,2,FALSE),IF(OR(K109="4/0 (4)",K109="4/0 (2)",K109="4/0 (1/0)"),VLOOKUP(K109,BT!$AE$27:$AF$29,2,FALSE),IF(OR(K109="336,4 (4)",K109="336,4 (2)",K109="336,4 (1/0)",K109="336,4 (4/0)"),VLOOKUP(K109,BT!$AE$31:$AF$34,2,FALSE),0))))))</f>
        <v/>
      </c>
      <c r="O109" s="38"/>
      <c r="P109" s="268" t="str">
        <f t="shared" si="21" ref="P109:P124">IF(OR(H109="",L109="",O109=""),"",L109*H109*O109)</f>
        <v/>
      </c>
      <c r="Q109" s="268" t="str">
        <f>IF(P109="","",SUM($P$45:P109)+$W$105)</f>
        <v/>
      </c>
      <c r="R109" s="268" t="str">
        <f t="shared" si="22" ref="R109:R124">IF(H109="","",IF(J109="3",H109*1000/($D$14*SQRT(3)),IF(J109="2",H109*1000*SQRT(3)/($D$14*2),IF(J109="1",H109*1000*SQRT(3)/$D$14,IF(J109="13",H109*1000/$D$16,IF(J109="12",H109*1000*2/$D$16,"erro"))))))</f>
        <v/>
      </c>
      <c r="S109" s="269" t="str">
        <f>IF(OR(M109="a",N109="a"),VLOOKUP("a",'Características dos Cabos'!$D$25:$L$29,9),IF(OR(M109="b",M109="c",N109="b",N109="c"),VLOOKUP("b",'Características dos Cabos'!$D$25:$L$29,9),IF(OR(M109="d",M109="e",N109="d",N109="e"),VLOOKUP("c",'Características dos Cabos'!$D$25:$L$29,9),IF(OR(M109="f",M109="g",M109="h",N109="f",N109="g",N109="h"),VLOOKUP("d",'Características dos Cabos'!$D$25:$L$29,9),IF(OR(M109="i",M109="j",M109="l",M109="m",N109="i",N109="j",N109="l",N109="m"),VLOOKUP("e",'Características dos Cabos'!$D$25:$L$29,9),"")))))</f>
        <v/>
      </c>
      <c r="T109" s="268" t="str">
        <f t="shared" si="18"/>
        <v/>
      </c>
      <c r="U109" s="269" t="str">
        <f>IF(OR(M109="a",N109="a"),VLOOKUP("a",'Características dos Cabos'!$D$25:$L$29,3),IF(OR(M109="b",M109="c",N109="b",N109="c"),VLOOKUP("b",'Características dos Cabos'!$D$25:$L$29,3),IF(OR(M109="d",M109="e",N109="d",N109="e"),VLOOKUP("c",'Características dos Cabos'!$D$25:$L$29,3),IF(OR(M109="f",M109="g",M109="h",N109="f",N109="g",N109="h"),VLOOKUP("d",'Características dos Cabos'!$D$25:$L$29,3),IF(OR(M109="i",M109="j",M109="l",M109="m",N109="i",N109="j",N109="l",N109="m"),VLOOKUP("e",'Características dos Cabos'!$D$25:$L$29,3),"")))))</f>
        <v/>
      </c>
      <c r="V109" s="270" t="str">
        <f t="shared" si="23" ref="V109:V124">IF(OR(O109="",$G$16="",H109="",N109=""),"",IF(J109="3",3*$L$12*U109*O109/1000*R109^2*8.76,IF(OR(J109="2",J109="13"),2*$L$12*U109*O109/1000*R109^2*8.76,IF(OR(J109="1",J109="12"),$L$12*U109*O109/1000*R109^2*8.76))))</f>
        <v/>
      </c>
      <c r="W109" s="243"/>
      <c r="X109" s="257">
        <f t="shared" si="19"/>
        <v>0</v>
      </c>
      <c r="Y109" s="257">
        <f t="shared" si="20"/>
        <v>0</v>
      </c>
      <c r="Z109" s="243"/>
    </row>
    <row r="110" spans="1:26" ht="15" customHeight="1">
      <c r="A110" s="639"/>
      <c r="B110" s="642"/>
      <c r="C110" s="27"/>
      <c r="D110" s="23"/>
      <c r="E110" s="38"/>
      <c r="F110" s="92" t="str">
        <f t="shared" si="16"/>
        <v/>
      </c>
      <c r="G110" s="38"/>
      <c r="H110" s="265" t="str">
        <f>IF(AND(E110="",G110=""),"",SUM(F110:G114))</f>
        <v/>
      </c>
      <c r="J110" s="23"/>
      <c r="K110" s="23"/>
      <c r="L110" s="266" t="str">
        <f>IF(OR(J110="",K110=""),"",IF(J110="3",VLOOKUP(M110,'K% (Rede Convencional)'!$B$18:$M$29,8),(IF(J110="2",VLOOKUP(N110,'K% (Rede Convencional)'!$B$18:$M$29,9),(IF(J110="1",VLOOKUP(N110,'K% (Rede Convencional)'!$B$18:$M$29,10),(IF(J110="13",VLOOKUP(N110,'K% (Rede Convencional)'!$B$18:$M$29,11),(IF(J110="12",VLOOKUP(N110,'K% (Rede Convencional)'!$B$18:$M$29,12),0))))))))))</f>
        <v/>
      </c>
      <c r="M110" s="267" t="str">
        <f t="shared" si="17"/>
        <v/>
      </c>
      <c r="N110" s="267" t="str">
        <f>IF(K110="","",IF(K110="4 (4)","a",IF(OR(K110="2 (4)",K110="2 (2)"),VLOOKUP(K110,BT!$AE$21:$AF$22,2,FALSE),IF(OR(K110="1/0 (4)",K110="1/0 (2)"),VLOOKUP(K110,BT!$AE$24:$AF$25,2,FALSE),IF(OR(K110="4/0 (4)",K110="4/0 (2)",K110="4/0 (1/0)"),VLOOKUP(K110,BT!$AE$27:$AF$29,2,FALSE),IF(OR(K110="336,4 (4)",K110="336,4 (2)",K110="336,4 (1/0)",K110="336,4 (4/0)"),VLOOKUP(K110,BT!$AE$31:$AF$34,2,FALSE),0))))))</f>
        <v/>
      </c>
      <c r="O110" s="38"/>
      <c r="P110" s="268" t="str">
        <f t="shared" si="21"/>
        <v/>
      </c>
      <c r="Q110" s="268" t="str">
        <f>IF(P110="","",SUM($P$45:P110)+$W$105)</f>
        <v/>
      </c>
      <c r="R110" s="268" t="str">
        <f t="shared" si="22"/>
        <v/>
      </c>
      <c r="S110" s="269" t="str">
        <f>IF(OR(M110="a",N110="a"),VLOOKUP("a",'Características dos Cabos'!$D$25:$L$29,9),IF(OR(M110="b",M110="c",N110="b",N110="c"),VLOOKUP("b",'Características dos Cabos'!$D$25:$L$29,9),IF(OR(M110="d",M110="e",N110="d",N110="e"),VLOOKUP("c",'Características dos Cabos'!$D$25:$L$29,9),IF(OR(M110="f",M110="g",M110="h",N110="f",N110="g",N110="h"),VLOOKUP("d",'Características dos Cabos'!$D$25:$L$29,9),IF(OR(M110="i",M110="j",M110="l",M110="m",N110="i",N110="j",N110="l",N110="m"),VLOOKUP("e",'Características dos Cabos'!$D$25:$L$29,9),"")))))</f>
        <v/>
      </c>
      <c r="T110" s="268" t="str">
        <f t="shared" si="18"/>
        <v/>
      </c>
      <c r="U110" s="269" t="str">
        <f>IF(OR(M110="a",N110="a"),VLOOKUP("a",'Características dos Cabos'!$D$25:$L$29,3),IF(OR(M110="b",M110="c",N110="b",N110="c"),VLOOKUP("b",'Características dos Cabos'!$D$25:$L$29,3),IF(OR(M110="d",M110="e",N110="d",N110="e"),VLOOKUP("c",'Características dos Cabos'!$D$25:$L$29,3),IF(OR(M110="f",M110="g",M110="h",N110="f",N110="g",N110="h"),VLOOKUP("d",'Características dos Cabos'!$D$25:$L$29,3),IF(OR(M110="i",M110="j",M110="l",M110="m",N110="i",N110="j",N110="l",N110="m"),VLOOKUP("e",'Características dos Cabos'!$D$25:$L$29,3),"")))))</f>
        <v/>
      </c>
      <c r="V110" s="270" t="str">
        <f t="shared" si="23"/>
        <v/>
      </c>
      <c r="W110" s="243"/>
      <c r="X110" s="257">
        <f t="shared" si="19"/>
        <v>0</v>
      </c>
      <c r="Y110" s="257">
        <f t="shared" si="20"/>
        <v>0</v>
      </c>
      <c r="Z110" s="243"/>
    </row>
    <row r="111" spans="1:26" ht="15" customHeight="1">
      <c r="A111" s="639"/>
      <c r="B111" s="642"/>
      <c r="C111" s="27"/>
      <c r="D111" s="23"/>
      <c r="E111" s="38"/>
      <c r="F111" s="92" t="str">
        <f t="shared" si="16"/>
        <v/>
      </c>
      <c r="G111" s="38"/>
      <c r="H111" s="265" t="str">
        <f>IF(AND(E111="",G111=""),"",SUM(F111:G114))</f>
        <v/>
      </c>
      <c r="J111" s="23"/>
      <c r="K111" s="23"/>
      <c r="L111" s="266" t="str">
        <f>IF(OR(J111="",K111=""),"",IF(J111="3",VLOOKUP(M111,'K% (Rede Convencional)'!$B$18:$M$29,8),(IF(J111="2",VLOOKUP(N111,'K% (Rede Convencional)'!$B$18:$M$29,9),(IF(J111="1",VLOOKUP(N111,'K% (Rede Convencional)'!$B$18:$M$29,10),(IF(J111="13",VLOOKUP(N111,'K% (Rede Convencional)'!$B$18:$M$29,11),(IF(J111="12",VLOOKUP(N111,'K% (Rede Convencional)'!$B$18:$M$29,12),0))))))))))</f>
        <v/>
      </c>
      <c r="M111" s="267" t="str">
        <f t="shared" si="17"/>
        <v/>
      </c>
      <c r="N111" s="267" t="str">
        <f>IF(K111="","",IF(K111="4 (4)","a",IF(OR(K111="2 (4)",K111="2 (2)"),VLOOKUP(K111,BT!$AE$21:$AF$22,2,FALSE),IF(OR(K111="1/0 (4)",K111="1/0 (2)"),VLOOKUP(K111,BT!$AE$24:$AF$25,2,FALSE),IF(OR(K111="4/0 (4)",K111="4/0 (2)",K111="4/0 (1/0)"),VLOOKUP(K111,BT!$AE$27:$AF$29,2,FALSE),IF(OR(K111="336,4 (4)",K111="336,4 (2)",K111="336,4 (1/0)",K111="336,4 (4/0)"),VLOOKUP(K111,BT!$AE$31:$AF$34,2,FALSE),0))))))</f>
        <v/>
      </c>
      <c r="O111" s="38"/>
      <c r="P111" s="268" t="str">
        <f t="shared" si="21"/>
        <v/>
      </c>
      <c r="Q111" s="268" t="str">
        <f>IF(P111="","",SUM($P$45:P111)+$W$105)</f>
        <v/>
      </c>
      <c r="R111" s="268" t="str">
        <f t="shared" si="22"/>
        <v/>
      </c>
      <c r="S111" s="269" t="str">
        <f>IF(OR(M111="a",N111="a"),VLOOKUP("a",'Características dos Cabos'!$D$25:$L$29,9),IF(OR(M111="b",M111="c",N111="b",N111="c"),VLOOKUP("b",'Características dos Cabos'!$D$25:$L$29,9),IF(OR(M111="d",M111="e",N111="d",N111="e"),VLOOKUP("c",'Características dos Cabos'!$D$25:$L$29,9),IF(OR(M111="f",M111="g",M111="h",N111="f",N111="g",N111="h"),VLOOKUP("d",'Características dos Cabos'!$D$25:$L$29,9),IF(OR(M111="i",M111="j",M111="l",M111="m",N111="i",N111="j",N111="l",N111="m"),VLOOKUP("e",'Características dos Cabos'!$D$25:$L$29,9),"")))))</f>
        <v/>
      </c>
      <c r="T111" s="268" t="str">
        <f t="shared" si="18"/>
        <v/>
      </c>
      <c r="U111" s="269" t="str">
        <f>IF(OR(M111="a",N111="a"),VLOOKUP("a",'Características dos Cabos'!$D$25:$L$29,3),IF(OR(M111="b",M111="c",N111="b",N111="c"),VLOOKUP("b",'Características dos Cabos'!$D$25:$L$29,3),IF(OR(M111="d",M111="e",N111="d",N111="e"),VLOOKUP("c",'Características dos Cabos'!$D$25:$L$29,3),IF(OR(M111="f",M111="g",M111="h",N111="f",N111="g",N111="h"),VLOOKUP("d",'Características dos Cabos'!$D$25:$L$29,3),IF(OR(M111="i",M111="j",M111="l",M111="m",N111="i",N111="j",N111="l",N111="m"),VLOOKUP("e",'Características dos Cabos'!$D$25:$L$29,3),"")))))</f>
        <v/>
      </c>
      <c r="V111" s="270" t="str">
        <f t="shared" si="23"/>
        <v/>
      </c>
      <c r="W111" s="243"/>
      <c r="X111" s="257">
        <f t="shared" si="19"/>
        <v>0</v>
      </c>
      <c r="Y111" s="257">
        <f t="shared" si="20"/>
        <v>0</v>
      </c>
      <c r="Z111" s="243"/>
    </row>
    <row r="112" spans="1:26" ht="15" customHeight="1">
      <c r="A112" s="639"/>
      <c r="B112" s="642"/>
      <c r="C112" s="27"/>
      <c r="D112" s="23"/>
      <c r="E112" s="38"/>
      <c r="F112" s="92" t="str">
        <f t="shared" si="16"/>
        <v/>
      </c>
      <c r="G112" s="38"/>
      <c r="H112" s="265" t="str">
        <f>IF(AND(E112="",G112=""),"",SUM(F112:G114))</f>
        <v/>
      </c>
      <c r="J112" s="23"/>
      <c r="K112" s="23"/>
      <c r="L112" s="266" t="str">
        <f>IF(OR(J112="",K112=""),"",IF(J112="3",VLOOKUP(M112,'K% (Rede Convencional)'!$B$18:$M$29,8),(IF(J112="2",VLOOKUP(N112,'K% (Rede Convencional)'!$B$18:$M$29,9),(IF(J112="1",VLOOKUP(N112,'K% (Rede Convencional)'!$B$18:$M$29,10),(IF(J112="13",VLOOKUP(N112,'K% (Rede Convencional)'!$B$18:$M$29,11),(IF(J112="12",VLOOKUP(N112,'K% (Rede Convencional)'!$B$18:$M$29,12),0))))))))))</f>
        <v/>
      </c>
      <c r="M112" s="267" t="str">
        <f t="shared" si="17"/>
        <v/>
      </c>
      <c r="N112" s="267" t="str">
        <f>IF(K112="","",IF(K112="4 (4)","a",IF(OR(K112="2 (4)",K112="2 (2)"),VLOOKUP(K112,BT!$AE$21:$AF$22,2,FALSE),IF(OR(K112="1/0 (4)",K112="1/0 (2)"),VLOOKUP(K112,BT!$AE$24:$AF$25,2,FALSE),IF(OR(K112="4/0 (4)",K112="4/0 (2)",K112="4/0 (1/0)"),VLOOKUP(K112,BT!$AE$27:$AF$29,2,FALSE),IF(OR(K112="336,4 (4)",K112="336,4 (2)",K112="336,4 (1/0)",K112="336,4 (4/0)"),VLOOKUP(K112,BT!$AE$31:$AF$34,2,FALSE),0))))))</f>
        <v/>
      </c>
      <c r="O112" s="38"/>
      <c r="P112" s="268" t="str">
        <f t="shared" si="21"/>
        <v/>
      </c>
      <c r="Q112" s="268" t="str">
        <f>IF(P112="","",SUM($P$45:P112)+$W$105)</f>
        <v/>
      </c>
      <c r="R112" s="268" t="str">
        <f t="shared" si="22"/>
        <v/>
      </c>
      <c r="S112" s="269" t="str">
        <f>IF(OR(M112="a",N112="a"),VLOOKUP("a",'Características dos Cabos'!$D$25:$L$29,9),IF(OR(M112="b",M112="c",N112="b",N112="c"),VLOOKUP("b",'Características dos Cabos'!$D$25:$L$29,9),IF(OR(M112="d",M112="e",N112="d",N112="e"),VLOOKUP("c",'Características dos Cabos'!$D$25:$L$29,9),IF(OR(M112="f",M112="g",M112="h",N112="f",N112="g",N112="h"),VLOOKUP("d",'Características dos Cabos'!$D$25:$L$29,9),IF(OR(M112="i",M112="j",M112="l",M112="m",N112="i",N112="j",N112="l",N112="m"),VLOOKUP("e",'Características dos Cabos'!$D$25:$L$29,9),"")))))</f>
        <v/>
      </c>
      <c r="T112" s="268" t="str">
        <f t="shared" si="18"/>
        <v/>
      </c>
      <c r="U112" s="269" t="str">
        <f>IF(OR(M112="a",N112="a"),VLOOKUP("a",'Características dos Cabos'!$D$25:$L$29,3),IF(OR(M112="b",M112="c",N112="b",N112="c"),VLOOKUP("b",'Características dos Cabos'!$D$25:$L$29,3),IF(OR(M112="d",M112="e",N112="d",N112="e"),VLOOKUP("c",'Características dos Cabos'!$D$25:$L$29,3),IF(OR(M112="f",M112="g",M112="h",N112="f",N112="g",N112="h"),VLOOKUP("d",'Características dos Cabos'!$D$25:$L$29,3),IF(OR(M112="i",M112="j",M112="l",M112="m",N112="i",N112="j",N112="l",N112="m"),VLOOKUP("e",'Características dos Cabos'!$D$25:$L$29,3),"")))))</f>
        <v/>
      </c>
      <c r="V112" s="270" t="str">
        <f t="shared" si="23"/>
        <v/>
      </c>
      <c r="W112" s="243"/>
      <c r="X112" s="257">
        <f t="shared" si="19"/>
        <v>0</v>
      </c>
      <c r="Y112" s="257">
        <f t="shared" si="20"/>
        <v>0</v>
      </c>
      <c r="Z112" s="243"/>
    </row>
    <row r="113" spans="1:26" ht="15" customHeight="1">
      <c r="A113" s="639"/>
      <c r="B113" s="642"/>
      <c r="C113" s="27"/>
      <c r="D113" s="23"/>
      <c r="E113" s="38"/>
      <c r="F113" s="92" t="str">
        <f t="shared" si="16"/>
        <v/>
      </c>
      <c r="G113" s="38"/>
      <c r="H113" s="265" t="str">
        <f>IF(AND(E113="",G113=""),"",SUM(F113:G114))</f>
        <v/>
      </c>
      <c r="J113" s="23"/>
      <c r="K113" s="23"/>
      <c r="L113" s="266" t="str">
        <f>IF(OR(J113="",K113=""),"",IF(J113="3",VLOOKUP(M113,'K% (Rede Convencional)'!$B$18:$M$29,8),(IF(J113="2",VLOOKUP(N113,'K% (Rede Convencional)'!$B$18:$M$29,9),(IF(J113="1",VLOOKUP(N113,'K% (Rede Convencional)'!$B$18:$M$29,10),(IF(J113="13",VLOOKUP(N113,'K% (Rede Convencional)'!$B$18:$M$29,11),(IF(J113="12",VLOOKUP(N113,'K% (Rede Convencional)'!$B$18:$M$29,12),0))))))))))</f>
        <v/>
      </c>
      <c r="M113" s="267" t="str">
        <f t="shared" si="17"/>
        <v/>
      </c>
      <c r="N113" s="267" t="str">
        <f>IF(K113="","",IF(K113="4 (4)","a",IF(OR(K113="2 (4)",K113="2 (2)"),VLOOKUP(K113,BT!$AE$21:$AF$22,2,FALSE),IF(OR(K113="1/0 (4)",K113="1/0 (2)"),VLOOKUP(K113,BT!$AE$24:$AF$25,2,FALSE),IF(OR(K113="4/0 (4)",K113="4/0 (2)",K113="4/0 (1/0)"),VLOOKUP(K113,BT!$AE$27:$AF$29,2,FALSE),IF(OR(K113="336,4 (4)",K113="336,4 (2)",K113="336,4 (1/0)",K113="336,4 (4/0)"),VLOOKUP(K113,BT!$AE$31:$AF$34,2,FALSE),0))))))</f>
        <v/>
      </c>
      <c r="O113" s="38"/>
      <c r="P113" s="268" t="str">
        <f t="shared" si="21"/>
        <v/>
      </c>
      <c r="Q113" s="268" t="str">
        <f>IF(P113="","",SUM($P$45:P113)+$W$105)</f>
        <v/>
      </c>
      <c r="R113" s="268" t="str">
        <f t="shared" si="22"/>
        <v/>
      </c>
      <c r="S113" s="269" t="str">
        <f>IF(OR(M113="a",N113="a"),VLOOKUP("a",'Características dos Cabos'!$D$25:$L$29,9),IF(OR(M113="b",M113="c",N113="b",N113="c"),VLOOKUP("b",'Características dos Cabos'!$D$25:$L$29,9),IF(OR(M113="d",M113="e",N113="d",N113="e"),VLOOKUP("c",'Características dos Cabos'!$D$25:$L$29,9),IF(OR(M113="f",M113="g",M113="h",N113="f",N113="g",N113="h"),VLOOKUP("d",'Características dos Cabos'!$D$25:$L$29,9),IF(OR(M113="i",M113="j",M113="l",M113="m",N113="i",N113="j",N113="l",N113="m"),VLOOKUP("e",'Características dos Cabos'!$D$25:$L$29,9),"")))))</f>
        <v/>
      </c>
      <c r="T113" s="268" t="str">
        <f t="shared" si="18"/>
        <v/>
      </c>
      <c r="U113" s="269" t="str">
        <f>IF(OR(M113="a",N113="a"),VLOOKUP("a",'Características dos Cabos'!$D$25:$L$29,3),IF(OR(M113="b",M113="c",N113="b",N113="c"),VLOOKUP("b",'Características dos Cabos'!$D$25:$L$29,3),IF(OR(M113="d",M113="e",N113="d",N113="e"),VLOOKUP("c",'Características dos Cabos'!$D$25:$L$29,3),IF(OR(M113="f",M113="g",M113="h",N113="f",N113="g",N113="h"),VLOOKUP("d",'Características dos Cabos'!$D$25:$L$29,3),IF(OR(M113="i",M113="j",M113="l",M113="m",N113="i",N113="j",N113="l",N113="m"),VLOOKUP("e",'Características dos Cabos'!$D$25:$L$29,3),"")))))</f>
        <v/>
      </c>
      <c r="V113" s="270" t="str">
        <f t="shared" si="23"/>
        <v/>
      </c>
      <c r="W113" s="243"/>
      <c r="X113" s="257">
        <f t="shared" si="19"/>
        <v>0</v>
      </c>
      <c r="Y113" s="257">
        <f t="shared" si="20"/>
        <v>0</v>
      </c>
      <c r="Z113" s="243"/>
    </row>
    <row r="114" spans="1:26" ht="15" customHeight="1" thickBot="1">
      <c r="A114" s="639"/>
      <c r="B114" s="643"/>
      <c r="C114" s="45"/>
      <c r="D114" s="46"/>
      <c r="E114" s="47"/>
      <c r="F114" s="54" t="str">
        <f t="shared" si="16"/>
        <v/>
      </c>
      <c r="G114" s="47"/>
      <c r="H114" s="271" t="str">
        <f>IF(AND(E114="",G114=""),"",SUM(F114:G114))</f>
        <v/>
      </c>
      <c r="J114" s="46"/>
      <c r="K114" s="46"/>
      <c r="L114" s="272" t="str">
        <f>IF(OR(J114="",K114=""),"",IF(J114="3",VLOOKUP(M114,'K% (Rede Convencional)'!$B$18:$M$29,8),(IF(J114="2",VLOOKUP(N114,'K% (Rede Convencional)'!$B$18:$M$29,9),(IF(J114="1",VLOOKUP(N114,'K% (Rede Convencional)'!$B$18:$M$29,10),(IF(J114="13",VLOOKUP(N114,'K% (Rede Convencional)'!$B$18:$M$29,11),(IF(J114="12",VLOOKUP(N114,'K% (Rede Convencional)'!$B$18:$M$29,12),0))))))))))</f>
        <v/>
      </c>
      <c r="M114" s="273" t="str">
        <f t="shared" si="17"/>
        <v/>
      </c>
      <c r="N114" s="273" t="str">
        <f>IF(K114="","",IF(K114="4 (4)","a",IF(OR(K114="2 (4)",K114="2 (2)"),VLOOKUP(K114,BT!$AE$21:$AF$22,2,FALSE),IF(OR(K114="1/0 (4)",K114="1/0 (2)"),VLOOKUP(K114,BT!$AE$24:$AF$25,2,FALSE),IF(OR(K114="4/0 (4)",K114="4/0 (2)",K114="4/0 (1/0)"),VLOOKUP(K114,BT!$AE$27:$AF$29,2,FALSE),IF(OR(K114="336,4 (4)",K114="336,4 (2)",K114="336,4 (1/0)",K114="336,4 (4/0)"),VLOOKUP(K114,BT!$AE$31:$AF$34,2,FALSE),0))))))</f>
        <v/>
      </c>
      <c r="O114" s="47"/>
      <c r="P114" s="274" t="str">
        <f t="shared" si="21"/>
        <v/>
      </c>
      <c r="Q114" s="274" t="str">
        <f>IF(P114="","",SUM($P$45:P114)+$W$105)</f>
        <v/>
      </c>
      <c r="R114" s="274" t="str">
        <f t="shared" si="22"/>
        <v/>
      </c>
      <c r="S114" s="275" t="str">
        <f>IF(OR(M114="a",N114="a"),VLOOKUP("a",'Características dos Cabos'!$D$25:$L$29,9),IF(OR(M114="b",M114="c",N114="b",N114="c"),VLOOKUP("b",'Características dos Cabos'!$D$25:$L$29,9),IF(OR(M114="d",M114="e",N114="d",N114="e"),VLOOKUP("c",'Características dos Cabos'!$D$25:$L$29,9),IF(OR(M114="f",M114="g",M114="h",N114="f",N114="g",N114="h"),VLOOKUP("d",'Características dos Cabos'!$D$25:$L$29,9),IF(OR(M114="i",M114="j",M114="l",M114="m",N114="i",N114="j",N114="l",N114="m"),VLOOKUP("e",'Características dos Cabos'!$D$25:$L$29,9),"")))))</f>
        <v/>
      </c>
      <c r="T114" s="274" t="str">
        <f t="shared" si="18"/>
        <v/>
      </c>
      <c r="U114" s="275" t="str">
        <f>IF(OR(M114="a",N114="a"),VLOOKUP("a",'Características dos Cabos'!$D$25:$L$29,3),IF(OR(M114="b",M114="c",N114="b",N114="c"),VLOOKUP("b",'Características dos Cabos'!$D$25:$L$29,3),IF(OR(M114="d",M114="e",N114="d",N114="e"),VLOOKUP("c",'Características dos Cabos'!$D$25:$L$29,3),IF(OR(M114="f",M114="g",M114="h",N114="f",N114="g",N114="h"),VLOOKUP("d",'Características dos Cabos'!$D$25:$L$29,3),IF(OR(M114="i",M114="j",M114="l",M114="m",N114="i",N114="j",N114="l",N114="m"),VLOOKUP("e",'Características dos Cabos'!$D$25:$L$29,3),"")))))</f>
        <v/>
      </c>
      <c r="V114" s="276" t="str">
        <f t="shared" si="23"/>
        <v/>
      </c>
      <c r="W114" s="243"/>
      <c r="X114" s="257">
        <f t="shared" si="19"/>
        <v>0</v>
      </c>
      <c r="Y114" s="257">
        <f t="shared" si="20"/>
        <v>0</v>
      </c>
      <c r="Z114" s="243"/>
    </row>
    <row r="115" spans="1:26" ht="15" customHeight="1" thickTop="1">
      <c r="A115" s="639"/>
      <c r="B115" s="641" t="str">
        <f>CONCATENATE("Ramal 8 - Derivando no ponto ",C115)</f>
        <v xml:space="preserve">Ramal 8 - Derivando no ponto </v>
      </c>
      <c r="C115" s="26"/>
      <c r="D115" s="25"/>
      <c r="E115" s="37"/>
      <c r="F115" s="92" t="str">
        <f t="shared" si="16"/>
        <v/>
      </c>
      <c r="G115" s="37"/>
      <c r="H115" s="278" t="str">
        <f>IF(AND(E115="",G115=""),"",SUM(F115:G124))</f>
        <v/>
      </c>
      <c r="J115" s="25"/>
      <c r="K115" s="25"/>
      <c r="L115" s="279" t="str">
        <f>IF(OR(J115="",K115=""),"",IF(J115="3",VLOOKUP(M115,'K% (Rede Convencional)'!$B$18:$M$29,8),(IF(J115="2",VLOOKUP(N115,'K% (Rede Convencional)'!$B$18:$M$29,9),(IF(J115="1",VLOOKUP(N115,'K% (Rede Convencional)'!$B$18:$M$29,10),(IF(J115="13",VLOOKUP(N115,'K% (Rede Convencional)'!$B$18:$M$29,11),(IF(J115="12",VLOOKUP(N115,'K% (Rede Convencional)'!$B$18:$M$29,12),0))))))))))</f>
        <v/>
      </c>
      <c r="M115" s="253" t="str">
        <f t="shared" si="17"/>
        <v/>
      </c>
      <c r="N115" s="253" t="str">
        <f>IF(K115="","",IF(K115="4 (4)","a",IF(OR(K115="2 (4)",K115="2 (2)"),VLOOKUP(K115,BT!$AE$21:$AF$22,2,FALSE),IF(OR(K115="1/0 (4)",K115="1/0 (2)"),VLOOKUP(K115,BT!$AE$24:$AF$25,2,FALSE),IF(OR(K115="4/0 (4)",K115="4/0 (2)",K115="4/0 (1/0)"),VLOOKUP(K115,BT!$AE$27:$AF$29,2,FALSE),IF(OR(K115="336,4 (4)",K115="336,4 (2)",K115="336,4 (1/0)",K115="336,4 (4/0)"),VLOOKUP(K115,BT!$AE$31:$AF$34,2,FALSE),0))))))</f>
        <v/>
      </c>
      <c r="O115" s="37"/>
      <c r="P115" s="280" t="str">
        <f t="shared" si="21"/>
        <v/>
      </c>
      <c r="Q115" s="280" t="str">
        <f>IF(P115="","",P115+VLOOKUP(C115,$D$21:$Q$43,13,FALSE))</f>
        <v/>
      </c>
      <c r="R115" s="280" t="str">
        <f t="shared" si="22"/>
        <v/>
      </c>
      <c r="S115" s="281" t="str">
        <f>IF(OR(M115="a",N115="a"),VLOOKUP("a",'Características dos Cabos'!$D$25:$L$29,9),IF(OR(M115="b",M115="c",N115="b",N115="c"),VLOOKUP("b",'Características dos Cabos'!$D$25:$L$29,9),IF(OR(M115="d",M115="e",N115="d",N115="e"),VLOOKUP("c",'Características dos Cabos'!$D$25:$L$29,9),IF(OR(M115="f",M115="g",M115="h",N115="f",N115="g",N115="h"),VLOOKUP("d",'Características dos Cabos'!$D$25:$L$29,9),IF(OR(M115="i",M115="j",M115="l",M115="m",N115="i",N115="j",N115="l",N115="m"),VLOOKUP("e",'Características dos Cabos'!$D$25:$L$29,9),"")))))</f>
        <v/>
      </c>
      <c r="T115" s="280" t="str">
        <f t="shared" si="18"/>
        <v/>
      </c>
      <c r="U115" s="281" t="str">
        <f>IF(OR(M115="a",N115="a"),VLOOKUP("a",'Características dos Cabos'!$D$25:$L$29,3),IF(OR(M115="b",M115="c",N115="b",N115="c"),VLOOKUP("b",'Características dos Cabos'!$D$25:$L$29,3),IF(OR(M115="d",M115="e",N115="d",N115="e"),VLOOKUP("c",'Características dos Cabos'!$D$25:$L$29,3),IF(OR(M115="f",M115="g",M115="h",N115="f",N115="g",N115="h"),VLOOKUP("d",'Características dos Cabos'!$D$25:$L$29,3),IF(OR(M115="i",M115="j",M115="l",M115="m",N115="i",N115="j",N115="l",N115="m"),VLOOKUP("e",'Características dos Cabos'!$D$25:$L$29,3),"")))))</f>
        <v/>
      </c>
      <c r="V115" s="282" t="str">
        <f t="shared" si="23"/>
        <v/>
      </c>
      <c r="W115" s="445" t="e">
        <f>VLOOKUP(C115,$D$21:$Q$43,12,FALSE)</f>
        <v>#N/A</v>
      </c>
      <c r="X115" s="257">
        <f t="shared" si="19"/>
        <v>0</v>
      </c>
      <c r="Y115" s="257">
        <f t="shared" si="20"/>
        <v>0</v>
      </c>
      <c r="Z115" s="243"/>
    </row>
    <row r="116" spans="1:26" ht="15" customHeight="1">
      <c r="A116" s="639"/>
      <c r="B116" s="642"/>
      <c r="C116" s="27"/>
      <c r="D116" s="23"/>
      <c r="E116" s="38"/>
      <c r="F116" s="92" t="str">
        <f t="shared" si="16"/>
        <v/>
      </c>
      <c r="G116" s="38"/>
      <c r="H116" s="265" t="str">
        <f>IF(AND(E116="",G116=""),"",SUM(F116:G124))</f>
        <v/>
      </c>
      <c r="J116" s="23"/>
      <c r="K116" s="23"/>
      <c r="L116" s="266" t="str">
        <f>IF(OR(J116="",K116=""),"",IF(J116="3",VLOOKUP(M116,'K% (Rede Convencional)'!$B$18:$M$29,8),(IF(J116="2",VLOOKUP(N116,'K% (Rede Convencional)'!$B$18:$M$29,9),(IF(J116="1",VLOOKUP(N116,'K% (Rede Convencional)'!$B$18:$M$29,10),(IF(J116="13",VLOOKUP(N116,'K% (Rede Convencional)'!$B$18:$M$29,11),(IF(J116="12",VLOOKUP(N116,'K% (Rede Convencional)'!$B$18:$M$29,12),0))))))))))</f>
        <v/>
      </c>
      <c r="M116" s="267" t="str">
        <f t="shared" si="17"/>
        <v/>
      </c>
      <c r="N116" s="267" t="str">
        <f>IF(K116="","",IF(K116="4 (4)","a",IF(OR(K116="2 (4)",K116="2 (2)"),VLOOKUP(K116,BT!$AE$21:$AF$22,2,FALSE),IF(OR(K116="1/0 (4)",K116="1/0 (2)"),VLOOKUP(K116,BT!$AE$24:$AF$25,2,FALSE),IF(OR(K116="4/0 (4)",K116="4/0 (2)",K116="4/0 (1/0)"),VLOOKUP(K116,BT!$AE$27:$AF$29,2,FALSE),IF(OR(K116="336,4 (4)",K116="336,4 (2)",K116="336,4 (1/0)",K116="336,4 (4/0)"),VLOOKUP(K116,BT!$AE$31:$AF$34,2,FALSE),0))))))</f>
        <v/>
      </c>
      <c r="O116" s="38"/>
      <c r="P116" s="268" t="str">
        <f t="shared" si="21"/>
        <v/>
      </c>
      <c r="Q116" s="268" t="str">
        <f>IF(P116="","",SUM($P$45:P116)+$W$115)</f>
        <v/>
      </c>
      <c r="R116" s="268" t="str">
        <f t="shared" si="22"/>
        <v/>
      </c>
      <c r="S116" s="269" t="str">
        <f>IF(OR(M116="a",N116="a"),VLOOKUP("a",'Características dos Cabos'!$D$25:$L$29,9),IF(OR(M116="b",M116="c",N116="b",N116="c"),VLOOKUP("b",'Características dos Cabos'!$D$25:$L$29,9),IF(OR(M116="d",M116="e",N116="d",N116="e"),VLOOKUP("c",'Características dos Cabos'!$D$25:$L$29,9),IF(OR(M116="f",M116="g",M116="h",N116="f",N116="g",N116="h"),VLOOKUP("d",'Características dos Cabos'!$D$25:$L$29,9),IF(OR(M116="i",M116="j",M116="l",M116="m",N116="i",N116="j",N116="l",N116="m"),VLOOKUP("e",'Características dos Cabos'!$D$25:$L$29,9),"")))))</f>
        <v/>
      </c>
      <c r="T116" s="268" t="str">
        <f t="shared" si="18"/>
        <v/>
      </c>
      <c r="U116" s="269" t="str">
        <f>IF(OR(M116="a",N116="a"),VLOOKUP("a",'Características dos Cabos'!$D$25:$L$29,3),IF(OR(M116="b",M116="c",N116="b",N116="c"),VLOOKUP("b",'Características dos Cabos'!$D$25:$L$29,3),IF(OR(M116="d",M116="e",N116="d",N116="e"),VLOOKUP("c",'Características dos Cabos'!$D$25:$L$29,3),IF(OR(M116="f",M116="g",M116="h",N116="f",N116="g",N116="h"),VLOOKUP("d",'Características dos Cabos'!$D$25:$L$29,3),IF(OR(M116="i",M116="j",M116="l",M116="m",N116="i",N116="j",N116="l",N116="m"),VLOOKUP("e",'Características dos Cabos'!$D$25:$L$29,3),"")))))</f>
        <v/>
      </c>
      <c r="V116" s="270" t="str">
        <f t="shared" si="23"/>
        <v/>
      </c>
      <c r="W116" s="243"/>
      <c r="X116" s="257">
        <f t="shared" si="19"/>
        <v>0</v>
      </c>
      <c r="Y116" s="257">
        <f t="shared" si="20"/>
        <v>0</v>
      </c>
      <c r="Z116" s="243"/>
    </row>
    <row r="117" spans="1:26" ht="15" customHeight="1">
      <c r="A117" s="639"/>
      <c r="B117" s="642"/>
      <c r="C117" s="27"/>
      <c r="D117" s="23"/>
      <c r="E117" s="38"/>
      <c r="F117" s="92" t="str">
        <f t="shared" si="16"/>
        <v/>
      </c>
      <c r="G117" s="38"/>
      <c r="H117" s="265" t="str">
        <f>IF(AND(E117="",G117=""),"",SUM(F117:G124))</f>
        <v/>
      </c>
      <c r="J117" s="23"/>
      <c r="K117" s="23"/>
      <c r="L117" s="266" t="str">
        <f>IF(OR(J117="",K117=""),"",IF(J117="3",VLOOKUP(M117,'K% (Rede Convencional)'!$B$18:$M$29,8),(IF(J117="2",VLOOKUP(N117,'K% (Rede Convencional)'!$B$18:$M$29,9),(IF(J117="1",VLOOKUP(N117,'K% (Rede Convencional)'!$B$18:$M$29,10),(IF(J117="13",VLOOKUP(N117,'K% (Rede Convencional)'!$B$18:$M$29,11),(IF(J117="12",VLOOKUP(N117,'K% (Rede Convencional)'!$B$18:$M$29,12),0))))))))))</f>
        <v/>
      </c>
      <c r="M117" s="267" t="str">
        <f t="shared" si="17"/>
        <v/>
      </c>
      <c r="N117" s="267" t="str">
        <f>IF(K117="","",IF(K117="4 (4)","a",IF(OR(K117="2 (4)",K117="2 (2)"),VLOOKUP(K117,BT!$AE$21:$AF$22,2,FALSE),IF(OR(K117="1/0 (4)",K117="1/0 (2)"),VLOOKUP(K117,BT!$AE$24:$AF$25,2,FALSE),IF(OR(K117="4/0 (4)",K117="4/0 (2)",K117="4/0 (1/0)"),VLOOKUP(K117,BT!$AE$27:$AF$29,2,FALSE),IF(OR(K117="336,4 (4)",K117="336,4 (2)",K117="336,4 (1/0)",K117="336,4 (4/0)"),VLOOKUP(K117,BT!$AE$31:$AF$34,2,FALSE),0))))))</f>
        <v/>
      </c>
      <c r="O117" s="38"/>
      <c r="P117" s="268" t="str">
        <f t="shared" si="21"/>
        <v/>
      </c>
      <c r="Q117" s="268" t="str">
        <f>IF(P117="","",SUM($P$45:P117)+$W$115)</f>
        <v/>
      </c>
      <c r="R117" s="268" t="str">
        <f t="shared" si="22"/>
        <v/>
      </c>
      <c r="S117" s="269" t="str">
        <f>IF(OR(M117="a",N117="a"),VLOOKUP("a",'Características dos Cabos'!$D$25:$L$29,9),IF(OR(M117="b",M117="c",N117="b",N117="c"),VLOOKUP("b",'Características dos Cabos'!$D$25:$L$29,9),IF(OR(M117="d",M117="e",N117="d",N117="e"),VLOOKUP("c",'Características dos Cabos'!$D$25:$L$29,9),IF(OR(M117="f",M117="g",M117="h",N117="f",N117="g",N117="h"),VLOOKUP("d",'Características dos Cabos'!$D$25:$L$29,9),IF(OR(M117="i",M117="j",M117="l",M117="m",N117="i",N117="j",N117="l",N117="m"),VLOOKUP("e",'Características dos Cabos'!$D$25:$L$29,9),"")))))</f>
        <v/>
      </c>
      <c r="T117" s="268" t="str">
        <f t="shared" si="18"/>
        <v/>
      </c>
      <c r="U117" s="269" t="str">
        <f>IF(OR(M117="a",N117="a"),VLOOKUP("a",'Características dos Cabos'!$D$25:$L$29,3),IF(OR(M117="b",M117="c",N117="b",N117="c"),VLOOKUP("b",'Características dos Cabos'!$D$25:$L$29,3),IF(OR(M117="d",M117="e",N117="d",N117="e"),VLOOKUP("c",'Características dos Cabos'!$D$25:$L$29,3),IF(OR(M117="f",M117="g",M117="h",N117="f",N117="g",N117="h"),VLOOKUP("d",'Características dos Cabos'!$D$25:$L$29,3),IF(OR(M117="i",M117="j",M117="l",M117="m",N117="i",N117="j",N117="l",N117="m"),VLOOKUP("e",'Características dos Cabos'!$D$25:$L$29,3),"")))))</f>
        <v/>
      </c>
      <c r="V117" s="270" t="str">
        <f t="shared" si="23"/>
        <v/>
      </c>
      <c r="W117" s="243"/>
      <c r="X117" s="257">
        <f t="shared" si="19"/>
        <v>0</v>
      </c>
      <c r="Y117" s="257">
        <f t="shared" si="20"/>
        <v>0</v>
      </c>
      <c r="Z117" s="243"/>
    </row>
    <row r="118" spans="1:26" ht="15" customHeight="1">
      <c r="A118" s="639"/>
      <c r="B118" s="642"/>
      <c r="C118" s="27"/>
      <c r="D118" s="23"/>
      <c r="E118" s="38"/>
      <c r="F118" s="92" t="str">
        <f t="shared" si="16"/>
        <v/>
      </c>
      <c r="G118" s="38"/>
      <c r="H118" s="265" t="str">
        <f>IF(AND(E118="",G118=""),"",SUM(F118:G124))</f>
        <v/>
      </c>
      <c r="J118" s="23"/>
      <c r="K118" s="23"/>
      <c r="L118" s="266" t="str">
        <f>IF(OR(J118="",K118=""),"",IF(J118="3",VLOOKUP(M118,'K% (Rede Convencional)'!$B$18:$M$29,8),(IF(J118="2",VLOOKUP(N118,'K% (Rede Convencional)'!$B$18:$M$29,9),(IF(J118="1",VLOOKUP(N118,'K% (Rede Convencional)'!$B$18:$M$29,10),(IF(J118="13",VLOOKUP(N118,'K% (Rede Convencional)'!$B$18:$M$29,11),(IF(J118="12",VLOOKUP(N118,'K% (Rede Convencional)'!$B$18:$M$29,12),0))))))))))</f>
        <v/>
      </c>
      <c r="M118" s="267" t="str">
        <f t="shared" si="17"/>
        <v/>
      </c>
      <c r="N118" s="267" t="str">
        <f>IF(K118="","",IF(K118="4 (4)","a",IF(OR(K118="2 (4)",K118="2 (2)"),VLOOKUP(K118,BT!$AE$21:$AF$22,2,FALSE),IF(OR(K118="1/0 (4)",K118="1/0 (2)"),VLOOKUP(K118,BT!$AE$24:$AF$25,2,FALSE),IF(OR(K118="4/0 (4)",K118="4/0 (2)",K118="4/0 (1/0)"),VLOOKUP(K118,BT!$AE$27:$AF$29,2,FALSE),IF(OR(K118="336,4 (4)",K118="336,4 (2)",K118="336,4 (1/0)",K118="336,4 (4/0)"),VLOOKUP(K118,BT!$AE$31:$AF$34,2,FALSE),0))))))</f>
        <v/>
      </c>
      <c r="O118" s="38"/>
      <c r="P118" s="268" t="str">
        <f t="shared" si="21"/>
        <v/>
      </c>
      <c r="Q118" s="268" t="str">
        <f>IF(P118="","",SUM($P$45:P118)+$W$115)</f>
        <v/>
      </c>
      <c r="R118" s="268" t="str">
        <f t="shared" si="22"/>
        <v/>
      </c>
      <c r="S118" s="269" t="str">
        <f>IF(OR(M118="a",N118="a"),VLOOKUP("a",'Características dos Cabos'!$D$25:$L$29,9),IF(OR(M118="b",M118="c",N118="b",N118="c"),VLOOKUP("b",'Características dos Cabos'!$D$25:$L$29,9),IF(OR(M118="d",M118="e",N118="d",N118="e"),VLOOKUP("c",'Características dos Cabos'!$D$25:$L$29,9),IF(OR(M118="f",M118="g",M118="h",N118="f",N118="g",N118="h"),VLOOKUP("d",'Características dos Cabos'!$D$25:$L$29,9),IF(OR(M118="i",M118="j",M118="l",M118="m",N118="i",N118="j",N118="l",N118="m"),VLOOKUP("e",'Características dos Cabos'!$D$25:$L$29,9),"")))))</f>
        <v/>
      </c>
      <c r="T118" s="268" t="str">
        <f t="shared" si="18"/>
        <v/>
      </c>
      <c r="U118" s="269" t="str">
        <f>IF(OR(M118="a",N118="a"),VLOOKUP("a",'Características dos Cabos'!$D$25:$L$29,3),IF(OR(M118="b",M118="c",N118="b",N118="c"),VLOOKUP("b",'Características dos Cabos'!$D$25:$L$29,3),IF(OR(M118="d",M118="e",N118="d",N118="e"),VLOOKUP("c",'Características dos Cabos'!$D$25:$L$29,3),IF(OR(M118="f",M118="g",M118="h",N118="f",N118="g",N118="h"),VLOOKUP("d",'Características dos Cabos'!$D$25:$L$29,3),IF(OR(M118="i",M118="j",M118="l",M118="m",N118="i",N118="j",N118="l",N118="m"),VLOOKUP("e",'Características dos Cabos'!$D$25:$L$29,3),"")))))</f>
        <v/>
      </c>
      <c r="V118" s="270" t="str">
        <f t="shared" si="23"/>
        <v/>
      </c>
      <c r="W118" s="243"/>
      <c r="X118" s="257">
        <f t="shared" si="19"/>
        <v>0</v>
      </c>
      <c r="Y118" s="257">
        <f t="shared" si="20"/>
        <v>0</v>
      </c>
      <c r="Z118" s="243"/>
    </row>
    <row r="119" spans="1:26" ht="15" customHeight="1">
      <c r="A119" s="639"/>
      <c r="B119" s="642"/>
      <c r="C119" s="27"/>
      <c r="D119" s="23"/>
      <c r="E119" s="38"/>
      <c r="F119" s="92" t="str">
        <f t="shared" si="16"/>
        <v/>
      </c>
      <c r="G119" s="38"/>
      <c r="H119" s="265" t="str">
        <f>IF(AND(E119="",G119=""),"",SUM(F119:G124))</f>
        <v/>
      </c>
      <c r="J119" s="23"/>
      <c r="K119" s="23"/>
      <c r="L119" s="266" t="str">
        <f>IF(OR(J119="",K119=""),"",IF(J119="3",VLOOKUP(M119,'K% (Rede Convencional)'!$B$18:$M$29,8),(IF(J119="2",VLOOKUP(N119,'K% (Rede Convencional)'!$B$18:$M$29,9),(IF(J119="1",VLOOKUP(N119,'K% (Rede Convencional)'!$B$18:$M$29,10),(IF(J119="13",VLOOKUP(N119,'K% (Rede Convencional)'!$B$18:$M$29,11),(IF(J119="12",VLOOKUP(N119,'K% (Rede Convencional)'!$B$18:$M$29,12),0))))))))))</f>
        <v/>
      </c>
      <c r="M119" s="267" t="str">
        <f t="shared" si="17"/>
        <v/>
      </c>
      <c r="N119" s="267" t="str">
        <f>IF(K119="","",IF(K119="4 (4)","a",IF(OR(K119="2 (4)",K119="2 (2)"),VLOOKUP(K119,BT!$AE$21:$AF$22,2,FALSE),IF(OR(K119="1/0 (4)",K119="1/0 (2)"),VLOOKUP(K119,BT!$AE$24:$AF$25,2,FALSE),IF(OR(K119="4/0 (4)",K119="4/0 (2)",K119="4/0 (1/0)"),VLOOKUP(K119,BT!$AE$27:$AF$29,2,FALSE),IF(OR(K119="336,4 (4)",K119="336,4 (2)",K119="336,4 (1/0)",K119="336,4 (4/0)"),VLOOKUP(K119,BT!$AE$31:$AF$34,2,FALSE),0))))))</f>
        <v/>
      </c>
      <c r="O119" s="38"/>
      <c r="P119" s="268" t="str">
        <f t="shared" si="21"/>
        <v/>
      </c>
      <c r="Q119" s="268" t="str">
        <f>IF(P119="","",SUM($P$45:P119)+$W$115)</f>
        <v/>
      </c>
      <c r="R119" s="268" t="str">
        <f t="shared" si="22"/>
        <v/>
      </c>
      <c r="S119" s="269" t="str">
        <f>IF(OR(M119="a",N119="a"),VLOOKUP("a",'Características dos Cabos'!$D$25:$L$29,9),IF(OR(M119="b",M119="c",N119="b",N119="c"),VLOOKUP("b",'Características dos Cabos'!$D$25:$L$29,9),IF(OR(M119="d",M119="e",N119="d",N119="e"),VLOOKUP("c",'Características dos Cabos'!$D$25:$L$29,9),IF(OR(M119="f",M119="g",M119="h",N119="f",N119="g",N119="h"),VLOOKUP("d",'Características dos Cabos'!$D$25:$L$29,9),IF(OR(M119="i",M119="j",M119="l",M119="m",N119="i",N119="j",N119="l",N119="m"),VLOOKUP("e",'Características dos Cabos'!$D$25:$L$29,9),"")))))</f>
        <v/>
      </c>
      <c r="T119" s="268" t="str">
        <f t="shared" si="18"/>
        <v/>
      </c>
      <c r="U119" s="269" t="str">
        <f>IF(OR(M119="a",N119="a"),VLOOKUP("a",'Características dos Cabos'!$D$25:$L$29,3),IF(OR(M119="b",M119="c",N119="b",N119="c"),VLOOKUP("b",'Características dos Cabos'!$D$25:$L$29,3),IF(OR(M119="d",M119="e",N119="d",N119="e"),VLOOKUP("c",'Características dos Cabos'!$D$25:$L$29,3),IF(OR(M119="f",M119="g",M119="h",N119="f",N119="g",N119="h"),VLOOKUP("d",'Características dos Cabos'!$D$25:$L$29,3),IF(OR(M119="i",M119="j",M119="l",M119="m",N119="i",N119="j",N119="l",N119="m"),VLOOKUP("e",'Características dos Cabos'!$D$25:$L$29,3),"")))))</f>
        <v/>
      </c>
      <c r="V119" s="270" t="str">
        <f t="shared" si="23"/>
        <v/>
      </c>
      <c r="W119" s="243"/>
      <c r="X119" s="257">
        <f t="shared" si="19"/>
        <v>0</v>
      </c>
      <c r="Y119" s="257">
        <f t="shared" si="20"/>
        <v>0</v>
      </c>
      <c r="Z119" s="243"/>
    </row>
    <row r="120" spans="1:26" ht="15" customHeight="1">
      <c r="A120" s="639"/>
      <c r="B120" s="642"/>
      <c r="C120" s="27"/>
      <c r="D120" s="23"/>
      <c r="E120" s="38"/>
      <c r="F120" s="92" t="str">
        <f t="shared" si="16"/>
        <v/>
      </c>
      <c r="G120" s="38"/>
      <c r="H120" s="265" t="str">
        <f>IF(AND(E120="",G120=""),"",SUM(F120:G124))</f>
        <v/>
      </c>
      <c r="J120" s="23"/>
      <c r="K120" s="23"/>
      <c r="L120" s="266" t="str">
        <f>IF(OR(J120="",K120=""),"",IF(J120="3",VLOOKUP(M120,'K% (Rede Convencional)'!$B$18:$M$29,8),(IF(J120="2",VLOOKUP(N120,'K% (Rede Convencional)'!$B$18:$M$29,9),(IF(J120="1",VLOOKUP(N120,'K% (Rede Convencional)'!$B$18:$M$29,10),(IF(J120="13",VLOOKUP(N120,'K% (Rede Convencional)'!$B$18:$M$29,11),(IF(J120="12",VLOOKUP(N120,'K% (Rede Convencional)'!$B$18:$M$29,12),0))))))))))</f>
        <v/>
      </c>
      <c r="M120" s="267" t="str">
        <f t="shared" si="17"/>
        <v/>
      </c>
      <c r="N120" s="267" t="str">
        <f>IF(K120="","",IF(K120="4 (4)","a",IF(OR(K120="2 (4)",K120="2 (2)"),VLOOKUP(K120,BT!$AE$21:$AF$22,2,FALSE),IF(OR(K120="1/0 (4)",K120="1/0 (2)"),VLOOKUP(K120,BT!$AE$24:$AF$25,2,FALSE),IF(OR(K120="4/0 (4)",K120="4/0 (2)",K120="4/0 (1/0)"),VLOOKUP(K120,BT!$AE$27:$AF$29,2,FALSE),IF(OR(K120="336,4 (4)",K120="336,4 (2)",K120="336,4 (1/0)",K120="336,4 (4/0)"),VLOOKUP(K120,BT!$AE$31:$AF$34,2,FALSE),0))))))</f>
        <v/>
      </c>
      <c r="O120" s="38"/>
      <c r="P120" s="268" t="str">
        <f t="shared" si="21"/>
        <v/>
      </c>
      <c r="Q120" s="268" t="str">
        <f>IF(P120="","",SUM($P$45:P120)+$W$115)</f>
        <v/>
      </c>
      <c r="R120" s="268" t="str">
        <f t="shared" si="22"/>
        <v/>
      </c>
      <c r="S120" s="269" t="str">
        <f>IF(OR(M120="a",N120="a"),VLOOKUP("a",'Características dos Cabos'!$D$25:$L$29,9),IF(OR(M120="b",M120="c",N120="b",N120="c"),VLOOKUP("b",'Características dos Cabos'!$D$25:$L$29,9),IF(OR(M120="d",M120="e",N120="d",N120="e"),VLOOKUP("c",'Características dos Cabos'!$D$25:$L$29,9),IF(OR(M120="f",M120="g",M120="h",N120="f",N120="g",N120="h"),VLOOKUP("d",'Características dos Cabos'!$D$25:$L$29,9),IF(OR(M120="i",M120="j",M120="l",M120="m",N120="i",N120="j",N120="l",N120="m"),VLOOKUP("e",'Características dos Cabos'!$D$25:$L$29,9),"")))))</f>
        <v/>
      </c>
      <c r="T120" s="268" t="str">
        <f t="shared" si="18"/>
        <v/>
      </c>
      <c r="U120" s="269" t="str">
        <f>IF(OR(M120="a",N120="a"),VLOOKUP("a",'Características dos Cabos'!$D$25:$L$29,3),IF(OR(M120="b",M120="c",N120="b",N120="c"),VLOOKUP("b",'Características dos Cabos'!$D$25:$L$29,3),IF(OR(M120="d",M120="e",N120="d",N120="e"),VLOOKUP("c",'Características dos Cabos'!$D$25:$L$29,3),IF(OR(M120="f",M120="g",M120="h",N120="f",N120="g",N120="h"),VLOOKUP("d",'Características dos Cabos'!$D$25:$L$29,3),IF(OR(M120="i",M120="j",M120="l",M120="m",N120="i",N120="j",N120="l",N120="m"),VLOOKUP("e",'Características dos Cabos'!$D$25:$L$29,3),"")))))</f>
        <v/>
      </c>
      <c r="V120" s="270" t="str">
        <f t="shared" si="23"/>
        <v/>
      </c>
      <c r="W120" s="243"/>
      <c r="X120" s="257">
        <f t="shared" si="19"/>
        <v>0</v>
      </c>
      <c r="Y120" s="257">
        <f t="shared" si="20"/>
        <v>0</v>
      </c>
      <c r="Z120" s="243"/>
    </row>
    <row r="121" spans="1:26" ht="15" customHeight="1">
      <c r="A121" s="639"/>
      <c r="B121" s="642"/>
      <c r="C121" s="27"/>
      <c r="D121" s="23"/>
      <c r="E121" s="38"/>
      <c r="F121" s="92" t="str">
        <f t="shared" si="16"/>
        <v/>
      </c>
      <c r="G121" s="38"/>
      <c r="H121" s="265" t="str">
        <f>IF(AND(E121="",G121=""),"",SUM(F121:G124))</f>
        <v/>
      </c>
      <c r="J121" s="23"/>
      <c r="K121" s="23"/>
      <c r="L121" s="266" t="str">
        <f>IF(OR(J121="",K121=""),"",IF(J121="3",VLOOKUP(M121,'K% (Rede Convencional)'!$B$18:$M$29,8),(IF(J121="2",VLOOKUP(N121,'K% (Rede Convencional)'!$B$18:$M$29,9),(IF(J121="1",VLOOKUP(N121,'K% (Rede Convencional)'!$B$18:$M$29,10),(IF(J121="13",VLOOKUP(N121,'K% (Rede Convencional)'!$B$18:$M$29,11),(IF(J121="12",VLOOKUP(N121,'K% (Rede Convencional)'!$B$18:$M$29,12),0))))))))))</f>
        <v/>
      </c>
      <c r="M121" s="267" t="str">
        <f t="shared" si="17"/>
        <v/>
      </c>
      <c r="N121" s="267" t="str">
        <f>IF(K121="","",IF(K121="4 (4)","a",IF(OR(K121="2 (4)",K121="2 (2)"),VLOOKUP(K121,BT!$AE$21:$AF$22,2,FALSE),IF(OR(K121="1/0 (4)",K121="1/0 (2)"),VLOOKUP(K121,BT!$AE$24:$AF$25,2,FALSE),IF(OR(K121="4/0 (4)",K121="4/0 (2)",K121="4/0 (1/0)"),VLOOKUP(K121,BT!$AE$27:$AF$29,2,FALSE),IF(OR(K121="336,4 (4)",K121="336,4 (2)",K121="336,4 (1/0)",K121="336,4 (4/0)"),VLOOKUP(K121,BT!$AE$31:$AF$34,2,FALSE),0))))))</f>
        <v/>
      </c>
      <c r="O121" s="38"/>
      <c r="P121" s="268" t="str">
        <f t="shared" si="21"/>
        <v/>
      </c>
      <c r="Q121" s="268" t="str">
        <f>IF(P121="","",SUM($P$45:P121)+$W$115)</f>
        <v/>
      </c>
      <c r="R121" s="268" t="str">
        <f t="shared" si="22"/>
        <v/>
      </c>
      <c r="S121" s="269" t="str">
        <f>IF(OR(M121="a",N121="a"),VLOOKUP("a",'Características dos Cabos'!$D$25:$L$29,9),IF(OR(M121="b",M121="c",N121="b",N121="c"),VLOOKUP("b",'Características dos Cabos'!$D$25:$L$29,9),IF(OR(M121="d",M121="e",N121="d",N121="e"),VLOOKUP("c",'Características dos Cabos'!$D$25:$L$29,9),IF(OR(M121="f",M121="g",M121="h",N121="f",N121="g",N121="h"),VLOOKUP("d",'Características dos Cabos'!$D$25:$L$29,9),IF(OR(M121="i",M121="j",M121="l",M121="m",N121="i",N121="j",N121="l",N121="m"),VLOOKUP("e",'Características dos Cabos'!$D$25:$L$29,9),"")))))</f>
        <v/>
      </c>
      <c r="T121" s="268" t="str">
        <f t="shared" si="18"/>
        <v/>
      </c>
      <c r="U121" s="269" t="str">
        <f>IF(OR(M121="a",N121="a"),VLOOKUP("a",'Características dos Cabos'!$D$25:$L$29,3),IF(OR(M121="b",M121="c",N121="b",N121="c"),VLOOKUP("b",'Características dos Cabos'!$D$25:$L$29,3),IF(OR(M121="d",M121="e",N121="d",N121="e"),VLOOKUP("c",'Características dos Cabos'!$D$25:$L$29,3),IF(OR(M121="f",M121="g",M121="h",N121="f",N121="g",N121="h"),VLOOKUP("d",'Características dos Cabos'!$D$25:$L$29,3),IF(OR(M121="i",M121="j",M121="l",M121="m",N121="i",N121="j",N121="l",N121="m"),VLOOKUP("e",'Características dos Cabos'!$D$25:$L$29,3),"")))))</f>
        <v/>
      </c>
      <c r="V121" s="270" t="str">
        <f t="shared" si="23"/>
        <v/>
      </c>
      <c r="W121" s="243"/>
      <c r="X121" s="257">
        <f t="shared" si="19"/>
        <v>0</v>
      </c>
      <c r="Y121" s="257">
        <f t="shared" si="20"/>
        <v>0</v>
      </c>
      <c r="Z121" s="243"/>
    </row>
    <row r="122" spans="1:26" ht="15" customHeight="1">
      <c r="A122" s="639"/>
      <c r="B122" s="642"/>
      <c r="C122" s="27"/>
      <c r="D122" s="23"/>
      <c r="E122" s="38"/>
      <c r="F122" s="92" t="str">
        <f t="shared" si="16"/>
        <v/>
      </c>
      <c r="G122" s="38"/>
      <c r="H122" s="265" t="str">
        <f>IF(AND(E122="",G122=""),"",SUM(F122:G124))</f>
        <v/>
      </c>
      <c r="J122" s="23"/>
      <c r="K122" s="23"/>
      <c r="L122" s="266" t="str">
        <f>IF(OR(J122="",K122=""),"",IF(J122="3",VLOOKUP(M122,'K% (Rede Convencional)'!$B$18:$M$29,8),(IF(J122="2",VLOOKUP(N122,'K% (Rede Convencional)'!$B$18:$M$29,9),(IF(J122="1",VLOOKUP(N122,'K% (Rede Convencional)'!$B$18:$M$29,10),(IF(J122="13",VLOOKUP(N122,'K% (Rede Convencional)'!$B$18:$M$29,11),(IF(J122="12",VLOOKUP(N122,'K% (Rede Convencional)'!$B$18:$M$29,12),0))))))))))</f>
        <v/>
      </c>
      <c r="M122" s="267" t="str">
        <f t="shared" si="17"/>
        <v/>
      </c>
      <c r="N122" s="267" t="str">
        <f>IF(K122="","",IF(K122="4 (4)","a",IF(OR(K122="2 (4)",K122="2 (2)"),VLOOKUP(K122,BT!$AE$21:$AF$22,2,FALSE),IF(OR(K122="1/0 (4)",K122="1/0 (2)"),VLOOKUP(K122,BT!$AE$24:$AF$25,2,FALSE),IF(OR(K122="4/0 (4)",K122="4/0 (2)",K122="4/0 (1/0)"),VLOOKUP(K122,BT!$AE$27:$AF$29,2,FALSE),IF(OR(K122="336,4 (4)",K122="336,4 (2)",K122="336,4 (1/0)",K122="336,4 (4/0)"),VLOOKUP(K122,BT!$AE$31:$AF$34,2,FALSE),0))))))</f>
        <v/>
      </c>
      <c r="O122" s="38"/>
      <c r="P122" s="268" t="str">
        <f t="shared" si="21"/>
        <v/>
      </c>
      <c r="Q122" s="268" t="str">
        <f>IF(P122="","",SUM($P$45:P122)+$W$115)</f>
        <v/>
      </c>
      <c r="R122" s="268" t="str">
        <f t="shared" si="22"/>
        <v/>
      </c>
      <c r="S122" s="269" t="str">
        <f>IF(OR(M122="a",N122="a"),VLOOKUP("a",'Características dos Cabos'!$D$25:$L$29,9),IF(OR(M122="b",M122="c",N122="b",N122="c"),VLOOKUP("b",'Características dos Cabos'!$D$25:$L$29,9),IF(OR(M122="d",M122="e",N122="d",N122="e"),VLOOKUP("c",'Características dos Cabos'!$D$25:$L$29,9),IF(OR(M122="f",M122="g",M122="h",N122="f",N122="g",N122="h"),VLOOKUP("d",'Características dos Cabos'!$D$25:$L$29,9),IF(OR(M122="i",M122="j",M122="l",M122="m",N122="i",N122="j",N122="l",N122="m"),VLOOKUP("e",'Características dos Cabos'!$D$25:$L$29,9),"")))))</f>
        <v/>
      </c>
      <c r="T122" s="268" t="str">
        <f t="shared" si="18"/>
        <v/>
      </c>
      <c r="U122" s="269" t="str">
        <f>IF(OR(M122="a",N122="a"),VLOOKUP("a",'Características dos Cabos'!$D$25:$L$29,3),IF(OR(M122="b",M122="c",N122="b",N122="c"),VLOOKUP("b",'Características dos Cabos'!$D$25:$L$29,3),IF(OR(M122="d",M122="e",N122="d",N122="e"),VLOOKUP("c",'Características dos Cabos'!$D$25:$L$29,3),IF(OR(M122="f",M122="g",M122="h",N122="f",N122="g",N122="h"),VLOOKUP("d",'Características dos Cabos'!$D$25:$L$29,3),IF(OR(M122="i",M122="j",M122="l",M122="m",N122="i",N122="j",N122="l",N122="m"),VLOOKUP("e",'Características dos Cabos'!$D$25:$L$29,3),"")))))</f>
        <v/>
      </c>
      <c r="V122" s="270" t="str">
        <f t="shared" si="23"/>
        <v/>
      </c>
      <c r="W122" s="243"/>
      <c r="X122" s="257">
        <f t="shared" si="19"/>
        <v>0</v>
      </c>
      <c r="Y122" s="257">
        <f t="shared" si="20"/>
        <v>0</v>
      </c>
      <c r="Z122" s="243"/>
    </row>
    <row r="123" spans="1:26" ht="15" customHeight="1">
      <c r="A123" s="639"/>
      <c r="B123" s="642"/>
      <c r="C123" s="27"/>
      <c r="D123" s="23"/>
      <c r="E123" s="38"/>
      <c r="F123" s="92" t="str">
        <f t="shared" si="16"/>
        <v/>
      </c>
      <c r="G123" s="38"/>
      <c r="H123" s="265" t="str">
        <f>IF(AND(E123="",G123=""),"",SUM(F123:G124))</f>
        <v/>
      </c>
      <c r="J123" s="23"/>
      <c r="K123" s="23"/>
      <c r="L123" s="266" t="str">
        <f>IF(OR(J123="",K123=""),"",IF(J123="3",VLOOKUP(M123,'K% (Rede Convencional)'!$B$18:$M$29,8),(IF(J123="2",VLOOKUP(N123,'K% (Rede Convencional)'!$B$18:$M$29,9),(IF(J123="1",VLOOKUP(N123,'K% (Rede Convencional)'!$B$18:$M$29,10),(IF(J123="13",VLOOKUP(N123,'K% (Rede Convencional)'!$B$18:$M$29,11),(IF(J123="12",VLOOKUP(N123,'K% (Rede Convencional)'!$B$18:$M$29,12),0))))))))))</f>
        <v/>
      </c>
      <c r="M123" s="267" t="str">
        <f t="shared" si="17"/>
        <v/>
      </c>
      <c r="N123" s="267" t="str">
        <f>IF(K123="","",IF(K123="4 (4)","a",IF(OR(K123="2 (4)",K123="2 (2)"),VLOOKUP(K123,BT!$AE$21:$AF$22,2,FALSE),IF(OR(K123="1/0 (4)",K123="1/0 (2)"),VLOOKUP(K123,BT!$AE$24:$AF$25,2,FALSE),IF(OR(K123="4/0 (4)",K123="4/0 (2)",K123="4/0 (1/0)"),VLOOKUP(K123,BT!$AE$27:$AF$29,2,FALSE),IF(OR(K123="336,4 (4)",K123="336,4 (2)",K123="336,4 (1/0)",K123="336,4 (4/0)"),VLOOKUP(K123,BT!$AE$31:$AF$34,2,FALSE),0))))))</f>
        <v/>
      </c>
      <c r="O123" s="38"/>
      <c r="P123" s="268" t="str">
        <f t="shared" si="21"/>
        <v/>
      </c>
      <c r="Q123" s="268" t="str">
        <f>IF(P123="","",SUM($P$45:P123)+$W$115)</f>
        <v/>
      </c>
      <c r="R123" s="268" t="str">
        <f t="shared" si="22"/>
        <v/>
      </c>
      <c r="S123" s="269" t="str">
        <f>IF(OR(M123="a",N123="a"),VLOOKUP("a",'Características dos Cabos'!$D$25:$L$29,9),IF(OR(M123="b",M123="c",N123="b",N123="c"),VLOOKUP("b",'Características dos Cabos'!$D$25:$L$29,9),IF(OR(M123="d",M123="e",N123="d",N123="e"),VLOOKUP("c",'Características dos Cabos'!$D$25:$L$29,9),IF(OR(M123="f",M123="g",M123="h",N123="f",N123="g",N123="h"),VLOOKUP("d",'Características dos Cabos'!$D$25:$L$29,9),IF(OR(M123="i",M123="j",M123="l",M123="m",N123="i",N123="j",N123="l",N123="m"),VLOOKUP("e",'Características dos Cabos'!$D$25:$L$29,9),"")))))</f>
        <v/>
      </c>
      <c r="T123" s="268" t="str">
        <f t="shared" si="18"/>
        <v/>
      </c>
      <c r="U123" s="269" t="str">
        <f>IF(OR(M123="a",N123="a"),VLOOKUP("a",'Características dos Cabos'!$D$25:$L$29,3),IF(OR(M123="b",M123="c",N123="b",N123="c"),VLOOKUP("b",'Características dos Cabos'!$D$25:$L$29,3),IF(OR(M123="d",M123="e",N123="d",N123="e"),VLOOKUP("c",'Características dos Cabos'!$D$25:$L$29,3),IF(OR(M123="f",M123="g",M123="h",N123="f",N123="g",N123="h"),VLOOKUP("d",'Características dos Cabos'!$D$25:$L$29,3),IF(OR(M123="i",M123="j",M123="l",M123="m",N123="i",N123="j",N123="l",N123="m"),VLOOKUP("e",'Características dos Cabos'!$D$25:$L$29,3),"")))))</f>
        <v/>
      </c>
      <c r="V123" s="270" t="str">
        <f t="shared" si="23"/>
        <v/>
      </c>
      <c r="W123" s="243"/>
      <c r="X123" s="257">
        <f t="shared" si="19"/>
        <v>0</v>
      </c>
      <c r="Y123" s="257">
        <f t="shared" si="20"/>
        <v>0</v>
      </c>
      <c r="Z123" s="243"/>
    </row>
    <row r="124" spans="1:26" ht="15" customHeight="1" thickBot="1">
      <c r="A124" s="639"/>
      <c r="B124" s="643"/>
      <c r="C124" s="28"/>
      <c r="D124" s="24"/>
      <c r="E124" s="39"/>
      <c r="F124" s="54" t="str">
        <f t="shared" si="16"/>
        <v/>
      </c>
      <c r="G124" s="39"/>
      <c r="H124" s="286" t="str">
        <f>IF(AND(E124="",G124=""),"",SUM(F124:G124))</f>
        <v/>
      </c>
      <c r="J124" s="24"/>
      <c r="K124" s="24"/>
      <c r="L124" s="287" t="str">
        <f>IF(OR(J124="",K124=""),"",IF(J124="3",VLOOKUP(M124,'K% (Rede Convencional)'!$B$18:$M$29,8),(IF(J124="2",VLOOKUP(N124,'K% (Rede Convencional)'!$B$18:$M$29,9),(IF(J124="1",VLOOKUP(N124,'K% (Rede Convencional)'!$B$18:$M$29,10),(IF(J124="13",VLOOKUP(N124,'K% (Rede Convencional)'!$B$18:$M$29,11),(IF(J124="12",VLOOKUP(N124,'K% (Rede Convencional)'!$B$18:$M$29,12),0))))))))))</f>
        <v/>
      </c>
      <c r="M124" s="288" t="str">
        <f t="shared" si="17"/>
        <v/>
      </c>
      <c r="N124" s="288" t="str">
        <f>IF(K124="","",IF(K124="4 (4)","a",IF(OR(K124="2 (4)",K124="2 (2)"),VLOOKUP(K124,BT!$AE$21:$AF$22,2,FALSE),IF(OR(K124="1/0 (4)",K124="1/0 (2)"),VLOOKUP(K124,BT!$AE$24:$AF$25,2,FALSE),IF(OR(K124="4/0 (4)",K124="4/0 (2)",K124="4/0 (1/0)"),VLOOKUP(K124,BT!$AE$27:$AF$29,2,FALSE),IF(OR(K124="336,4 (4)",K124="336,4 (2)",K124="336,4 (1/0)",K124="336,4 (4/0)"),VLOOKUP(K124,BT!$AE$31:$AF$34,2,FALSE),0))))))</f>
        <v/>
      </c>
      <c r="O124" s="39"/>
      <c r="P124" s="289" t="str">
        <f t="shared" si="21"/>
        <v/>
      </c>
      <c r="Q124" s="289" t="str">
        <f>IF(P124="","",SUM($P$45:P124)+$W$115)</f>
        <v/>
      </c>
      <c r="R124" s="289" t="str">
        <f t="shared" si="22"/>
        <v/>
      </c>
      <c r="S124" s="290" t="str">
        <f>IF(N124="a",VLOOKUP("a",#REF!,9),IF(OR(N124="b",N124="c"),VLOOKUP("b",#REF!,9),IF(OR(N124="d",N124="e"),VLOOKUP("c",#REF!,9),IF(OR(N124="f",N124="g",N124="h"),VLOOKUP("d",#REF!,9),IF(OR(N124="i",N124="j",N124="l",N124="m"),VLOOKUP("e",#REF!,9),"")))))</f>
        <v/>
      </c>
      <c r="T124" s="289" t="str">
        <f t="shared" si="18"/>
        <v/>
      </c>
      <c r="U124" s="290" t="str">
        <f>IF(OR(M124="a",N124="a"),VLOOKUP("a",'Características dos Cabos'!$D$25:$L$29,3),IF(OR(M124="b",M124="c",N124="b",N124="c"),VLOOKUP("b",'Características dos Cabos'!$D$25:$L$29,3),IF(OR(M124="d",M124="e",N124="d",N124="e"),VLOOKUP("c",'Características dos Cabos'!$D$25:$L$29,3),IF(OR(M124="f",M124="g",M124="h",N124="f",N124="g",N124="h"),VLOOKUP("d",'Características dos Cabos'!$D$25:$L$29,3),IF(OR(M124="i",M124="j",M124="l",M124="m",N124="i",N124="j",N124="l",N124="m"),VLOOKUP("e",'Características dos Cabos'!$D$25:$L$29,3),"")))))</f>
        <v/>
      </c>
      <c r="V124" s="291" t="str">
        <f t="shared" si="23"/>
        <v/>
      </c>
      <c r="W124" s="243"/>
      <c r="X124" s="257">
        <f t="shared" si="19"/>
        <v>0</v>
      </c>
      <c r="Y124" s="257">
        <f t="shared" si="20"/>
        <v>0</v>
      </c>
      <c r="Z124" s="243"/>
    </row>
    <row r="125" spans="1:26" ht="15" customHeight="1" thickTop="1">
      <c r="A125" s="639"/>
      <c r="B125" s="641" t="str">
        <f>CONCATENATE("Ramal 9 - Derivando no ponto ",C125)</f>
        <v xml:space="preserve">Ramal 9 - Derivando no ponto </v>
      </c>
      <c r="C125" s="26"/>
      <c r="D125" s="25"/>
      <c r="E125" s="37"/>
      <c r="F125" s="92" t="str">
        <f t="shared" si="16"/>
        <v/>
      </c>
      <c r="G125" s="37"/>
      <c r="H125" s="278" t="str">
        <f>IF(AND(E125="",G125=""),"",SUM(F125:G134))</f>
        <v/>
      </c>
      <c r="J125" s="25"/>
      <c r="K125" s="25"/>
      <c r="L125" s="279" t="str">
        <f>IF(OR(J125="",K125=""),"",IF(J125="3",VLOOKUP(M125,'K% (Rede Convencional)'!$B$18:$M$29,8),(IF(J125="2",VLOOKUP(N125,'K% (Rede Convencional)'!$B$18:$M$29,9),(IF(J125="1",VLOOKUP(N125,'K% (Rede Convencional)'!$B$18:$M$29,10),(IF(J125="13",VLOOKUP(N125,'K% (Rede Convencional)'!$B$18:$M$29,11),(IF(J125="12",VLOOKUP(N125,'K% (Rede Convencional)'!$B$18:$M$29,12),0))))))))))</f>
        <v/>
      </c>
      <c r="M125" s="253" t="str">
        <f t="shared" si="24" ref="M125:M134">IF(K125="4","a",IF(K125="2","b",IF(K125="1/0","d",IF(K125="4/0","f",IF(K125="336,4","i","")))))</f>
        <v/>
      </c>
      <c r="N125" s="253" t="str">
        <f>IF(K125="","",IF(K125="4 (4)","a",IF(OR(K125="2 (4)",K125="2 (2)"),VLOOKUP(K125,BT!$AE$21:$AF$22,2,FALSE),IF(OR(K125="1/0 (4)",K125="1/0 (2)"),VLOOKUP(K125,BT!$AE$24:$AF$25,2,FALSE),IF(OR(K125="4/0 (4)",K125="4/0 (2)",K125="4/0 (1/0)"),VLOOKUP(K125,BT!$AE$27:$AF$29,2,FALSE),IF(OR(K125="336,4 (4)",K125="336,4 (2)",K125="336,4 (1/0)",K125="336,4 (4/0)"),VLOOKUP(K125,BT!$AE$31:$AF$34,2,FALSE),0))))))</f>
        <v/>
      </c>
      <c r="O125" s="37"/>
      <c r="P125" s="280" t="str">
        <f t="shared" si="25" ref="P125:P134">IF(OR(H125="",L125="",O125=""),"",L125*H125*O125)</f>
        <v/>
      </c>
      <c r="Q125" s="280" t="str">
        <f>IF(P125="","",P125+VLOOKUP(C125,$D$21:$Q$43,13,FALSE))</f>
        <v/>
      </c>
      <c r="R125" s="280" t="str">
        <f t="shared" si="26" ref="R125:R134">IF(H125="","",IF(J125="3",H125*1000/($D$14*SQRT(3)),IF(J125="2",H125*1000*SQRT(3)/($D$14*2),IF(J125="1",H125*1000*SQRT(3)/$D$14,IF(J125="13",H125*1000/$D$16,IF(J125="12",H125*1000*2/$D$16,"erro"))))))</f>
        <v/>
      </c>
      <c r="S125" s="281" t="str">
        <f>IF(OR(M125="a",N125="a"),VLOOKUP("a",'Características dos Cabos'!$D$25:$L$29,9),IF(OR(M125="b",M125="c",N125="b",N125="c"),VLOOKUP("b",'Características dos Cabos'!$D$25:$L$29,9),IF(OR(M125="d",M125="e",N125="d",N125="e"),VLOOKUP("c",'Características dos Cabos'!$D$25:$L$29,9),IF(OR(M125="f",M125="g",M125="h",N125="f",N125="g",N125="h"),VLOOKUP("d",'Características dos Cabos'!$D$25:$L$29,9),IF(OR(M125="i",M125="j",M125="l",M125="m",N125="i",N125="j",N125="l",N125="m"),VLOOKUP("e",'Características dos Cabos'!$D$25:$L$29,9),"")))))</f>
        <v/>
      </c>
      <c r="T125" s="280" t="str">
        <f t="shared" si="27" ref="T125:T134">IF(S125="","",R125*100/S125)</f>
        <v/>
      </c>
      <c r="U125" s="281" t="str">
        <f>IF(OR(M125="a",N125="a"),VLOOKUP("a",'Características dos Cabos'!$D$25:$L$29,3),IF(OR(M125="b",M125="c",N125="b",N125="c"),VLOOKUP("b",'Características dos Cabos'!$D$25:$L$29,3),IF(OR(M125="d",M125="e",N125="d",N125="e"),VLOOKUP("c",'Características dos Cabos'!$D$25:$L$29,3),IF(OR(M125="f",M125="g",M125="h",N125="f",N125="g",N125="h"),VLOOKUP("d",'Características dos Cabos'!$D$25:$L$29,3),IF(OR(M125="i",M125="j",M125="l",M125="m",N125="i",N125="j",N125="l",N125="m"),VLOOKUP("e",'Características dos Cabos'!$D$25:$L$29,3),"")))))</f>
        <v/>
      </c>
      <c r="V125" s="282" t="str">
        <f t="shared" si="28" ref="V125:V134">IF(OR(O125="",$G$16="",H125="",N125=""),"",IF(J125="3",3*$L$12*U125*O125/1000*R125^2*8.76,IF(OR(J125="2",J125="13"),2*$L$12*U125*O125/1000*R125^2*8.76,IF(OR(J125="1",J125="12"),$L$12*U125*O125/1000*R125^2*8.76))))</f>
        <v/>
      </c>
      <c r="W125" s="445" t="e">
        <f>VLOOKUP(C125,$D$21:$Q$43,12,FALSE)</f>
        <v>#N/A</v>
      </c>
      <c r="X125" s="257">
        <f t="shared" si="29" ref="X125:X134">D125</f>
        <v>0</v>
      </c>
      <c r="Y125" s="257">
        <f t="shared" si="30" ref="Y125:Y134">K125</f>
        <v>0</v>
      </c>
      <c r="Z125" s="243"/>
    </row>
    <row r="126" spans="1:26" ht="15" customHeight="1">
      <c r="A126" s="639"/>
      <c r="B126" s="642"/>
      <c r="C126" s="27"/>
      <c r="D126" s="23"/>
      <c r="E126" s="38"/>
      <c r="F126" s="92" t="str">
        <f t="shared" si="16"/>
        <v/>
      </c>
      <c r="G126" s="38"/>
      <c r="H126" s="265" t="str">
        <f>IF(AND(E126="",G126=""),"",SUM(F126:G134))</f>
        <v/>
      </c>
      <c r="J126" s="23"/>
      <c r="K126" s="23"/>
      <c r="L126" s="266" t="str">
        <f>IF(OR(J126="",K126=""),"",IF(J126="3",VLOOKUP(M126,'K% (Rede Convencional)'!$B$18:$M$29,8),(IF(J126="2",VLOOKUP(N126,'K% (Rede Convencional)'!$B$18:$M$29,9),(IF(J126="1",VLOOKUP(N126,'K% (Rede Convencional)'!$B$18:$M$29,10),(IF(J126="13",VLOOKUP(N126,'K% (Rede Convencional)'!$B$18:$M$29,11),(IF(J126="12",VLOOKUP(N126,'K% (Rede Convencional)'!$B$18:$M$29,12),0))))))))))</f>
        <v/>
      </c>
      <c r="M126" s="267" t="str">
        <f t="shared" si="24"/>
        <v/>
      </c>
      <c r="N126" s="267" t="str">
        <f>IF(K126="","",IF(K126="4 (4)","a",IF(OR(K126="2 (4)",K126="2 (2)"),VLOOKUP(K126,BT!$AE$21:$AF$22,2,FALSE),IF(OR(K126="1/0 (4)",K126="1/0 (2)"),VLOOKUP(K126,BT!$AE$24:$AF$25,2,FALSE),IF(OR(K126="4/0 (4)",K126="4/0 (2)",K126="4/0 (1/0)"),VLOOKUP(K126,BT!$AE$27:$AF$29,2,FALSE),IF(OR(K126="336,4 (4)",K126="336,4 (2)",K126="336,4 (1/0)",K126="336,4 (4/0)"),VLOOKUP(K126,BT!$AE$31:$AF$34,2,FALSE),0))))))</f>
        <v/>
      </c>
      <c r="O126" s="38"/>
      <c r="P126" s="268" t="str">
        <f t="shared" si="25"/>
        <v/>
      </c>
      <c r="Q126" s="268" t="str">
        <f>IF(P126="","",SUM($P$45:P126)+$W$115)</f>
        <v/>
      </c>
      <c r="R126" s="268" t="str">
        <f t="shared" si="26"/>
        <v/>
      </c>
      <c r="S126" s="269" t="str">
        <f>IF(OR(M126="a",N126="a"),VLOOKUP("a",'Características dos Cabos'!$D$25:$L$29,9),IF(OR(M126="b",M126="c",N126="b",N126="c"),VLOOKUP("b",'Características dos Cabos'!$D$25:$L$29,9),IF(OR(M126="d",M126="e",N126="d",N126="e"),VLOOKUP("c",'Características dos Cabos'!$D$25:$L$29,9),IF(OR(M126="f",M126="g",M126="h",N126="f",N126="g",N126="h"),VLOOKUP("d",'Características dos Cabos'!$D$25:$L$29,9),IF(OR(M126="i",M126="j",M126="l",M126="m",N126="i",N126="j",N126="l",N126="m"),VLOOKUP("e",'Características dos Cabos'!$D$25:$L$29,9),"")))))</f>
        <v/>
      </c>
      <c r="T126" s="268" t="str">
        <f t="shared" si="27"/>
        <v/>
      </c>
      <c r="U126" s="269" t="str">
        <f>IF(OR(M126="a",N126="a"),VLOOKUP("a",'Características dos Cabos'!$D$25:$L$29,3),IF(OR(M126="b",M126="c",N126="b",N126="c"),VLOOKUP("b",'Características dos Cabos'!$D$25:$L$29,3),IF(OR(M126="d",M126="e",N126="d",N126="e"),VLOOKUP("c",'Características dos Cabos'!$D$25:$L$29,3),IF(OR(M126="f",M126="g",M126="h",N126="f",N126="g",N126="h"),VLOOKUP("d",'Características dos Cabos'!$D$25:$L$29,3),IF(OR(M126="i",M126="j",M126="l",M126="m",N126="i",N126="j",N126="l",N126="m"),VLOOKUP("e",'Características dos Cabos'!$D$25:$L$29,3),"")))))</f>
        <v/>
      </c>
      <c r="V126" s="270" t="str">
        <f t="shared" si="28"/>
        <v/>
      </c>
      <c r="W126" s="243"/>
      <c r="X126" s="257">
        <f t="shared" si="29"/>
        <v>0</v>
      </c>
      <c r="Y126" s="257">
        <f t="shared" si="30"/>
        <v>0</v>
      </c>
      <c r="Z126" s="243"/>
    </row>
    <row r="127" spans="1:26" ht="15" customHeight="1">
      <c r="A127" s="639"/>
      <c r="B127" s="642"/>
      <c r="C127" s="27"/>
      <c r="D127" s="23"/>
      <c r="E127" s="38"/>
      <c r="F127" s="92" t="str">
        <f t="shared" si="16"/>
        <v/>
      </c>
      <c r="G127" s="38"/>
      <c r="H127" s="265" t="str">
        <f>IF(AND(E127="",G127=""),"",SUM(F127:G134))</f>
        <v/>
      </c>
      <c r="J127" s="23"/>
      <c r="K127" s="23"/>
      <c r="L127" s="266" t="str">
        <f>IF(OR(J127="",K127=""),"",IF(J127="3",VLOOKUP(M127,'K% (Rede Convencional)'!$B$18:$M$29,8),(IF(J127="2",VLOOKUP(N127,'K% (Rede Convencional)'!$B$18:$M$29,9),(IF(J127="1",VLOOKUP(N127,'K% (Rede Convencional)'!$B$18:$M$29,10),(IF(J127="13",VLOOKUP(N127,'K% (Rede Convencional)'!$B$18:$M$29,11),(IF(J127="12",VLOOKUP(N127,'K% (Rede Convencional)'!$B$18:$M$29,12),0))))))))))</f>
        <v/>
      </c>
      <c r="M127" s="267" t="str">
        <f t="shared" si="24"/>
        <v/>
      </c>
      <c r="N127" s="267" t="str">
        <f>IF(K127="","",IF(K127="4 (4)","a",IF(OR(K127="2 (4)",K127="2 (2)"),VLOOKUP(K127,BT!$AE$21:$AF$22,2,FALSE),IF(OR(K127="1/0 (4)",K127="1/0 (2)"),VLOOKUP(K127,BT!$AE$24:$AF$25,2,FALSE),IF(OR(K127="4/0 (4)",K127="4/0 (2)",K127="4/0 (1/0)"),VLOOKUP(K127,BT!$AE$27:$AF$29,2,FALSE),IF(OR(K127="336,4 (4)",K127="336,4 (2)",K127="336,4 (1/0)",K127="336,4 (4/0)"),VLOOKUP(K127,BT!$AE$31:$AF$34,2,FALSE),0))))))</f>
        <v/>
      </c>
      <c r="O127" s="38"/>
      <c r="P127" s="268" t="str">
        <f t="shared" si="25"/>
        <v/>
      </c>
      <c r="Q127" s="268" t="str">
        <f>IF(P127="","",SUM($P$45:P127)+$W$115)</f>
        <v/>
      </c>
      <c r="R127" s="268" t="str">
        <f t="shared" si="26"/>
        <v/>
      </c>
      <c r="S127" s="269" t="str">
        <f>IF(OR(M127="a",N127="a"),VLOOKUP("a",'Características dos Cabos'!$D$25:$L$29,9),IF(OR(M127="b",M127="c",N127="b",N127="c"),VLOOKUP("b",'Características dos Cabos'!$D$25:$L$29,9),IF(OR(M127="d",M127="e",N127="d",N127="e"),VLOOKUP("c",'Características dos Cabos'!$D$25:$L$29,9),IF(OR(M127="f",M127="g",M127="h",N127="f",N127="g",N127="h"),VLOOKUP("d",'Características dos Cabos'!$D$25:$L$29,9),IF(OR(M127="i",M127="j",M127="l",M127="m",N127="i",N127="j",N127="l",N127="m"),VLOOKUP("e",'Características dos Cabos'!$D$25:$L$29,9),"")))))</f>
        <v/>
      </c>
      <c r="T127" s="268" t="str">
        <f t="shared" si="27"/>
        <v/>
      </c>
      <c r="U127" s="269" t="str">
        <f>IF(OR(M127="a",N127="a"),VLOOKUP("a",'Características dos Cabos'!$D$25:$L$29,3),IF(OR(M127="b",M127="c",N127="b",N127="c"),VLOOKUP("b",'Características dos Cabos'!$D$25:$L$29,3),IF(OR(M127="d",M127="e",N127="d",N127="e"),VLOOKUP("c",'Características dos Cabos'!$D$25:$L$29,3),IF(OR(M127="f",M127="g",M127="h",N127="f",N127="g",N127="h"),VLOOKUP("d",'Características dos Cabos'!$D$25:$L$29,3),IF(OR(M127="i",M127="j",M127="l",M127="m",N127="i",N127="j",N127="l",N127="m"),VLOOKUP("e",'Características dos Cabos'!$D$25:$L$29,3),"")))))</f>
        <v/>
      </c>
      <c r="V127" s="270" t="str">
        <f t="shared" si="28"/>
        <v/>
      </c>
      <c r="W127" s="243"/>
      <c r="X127" s="257">
        <f t="shared" si="29"/>
        <v>0</v>
      </c>
      <c r="Y127" s="257">
        <f t="shared" si="30"/>
        <v>0</v>
      </c>
      <c r="Z127" s="243"/>
    </row>
    <row r="128" spans="1:26" ht="15" customHeight="1">
      <c r="A128" s="639"/>
      <c r="B128" s="642"/>
      <c r="C128" s="27"/>
      <c r="D128" s="23"/>
      <c r="E128" s="38"/>
      <c r="F128" s="92" t="str">
        <f t="shared" si="16"/>
        <v/>
      </c>
      <c r="G128" s="38"/>
      <c r="H128" s="265" t="str">
        <f>IF(AND(E128="",G128=""),"",SUM(F128:G134))</f>
        <v/>
      </c>
      <c r="J128" s="23"/>
      <c r="K128" s="23"/>
      <c r="L128" s="266" t="str">
        <f>IF(OR(J128="",K128=""),"",IF(J128="3",VLOOKUP(M128,'K% (Rede Convencional)'!$B$18:$M$29,8),(IF(J128="2",VLOOKUP(N128,'K% (Rede Convencional)'!$B$18:$M$29,9),(IF(J128="1",VLOOKUP(N128,'K% (Rede Convencional)'!$B$18:$M$29,10),(IF(J128="13",VLOOKUP(N128,'K% (Rede Convencional)'!$B$18:$M$29,11),(IF(J128="12",VLOOKUP(N128,'K% (Rede Convencional)'!$B$18:$M$29,12),0))))))))))</f>
        <v/>
      </c>
      <c r="M128" s="267" t="str">
        <f t="shared" si="24"/>
        <v/>
      </c>
      <c r="N128" s="267" t="str">
        <f>IF(K128="","",IF(K128="4 (4)","a",IF(OR(K128="2 (4)",K128="2 (2)"),VLOOKUP(K128,BT!$AE$21:$AF$22,2,FALSE),IF(OR(K128="1/0 (4)",K128="1/0 (2)"),VLOOKUP(K128,BT!$AE$24:$AF$25,2,FALSE),IF(OR(K128="4/0 (4)",K128="4/0 (2)",K128="4/0 (1/0)"),VLOOKUP(K128,BT!$AE$27:$AF$29,2,FALSE),IF(OR(K128="336,4 (4)",K128="336,4 (2)",K128="336,4 (1/0)",K128="336,4 (4/0)"),VLOOKUP(K128,BT!$AE$31:$AF$34,2,FALSE),0))))))</f>
        <v/>
      </c>
      <c r="O128" s="38"/>
      <c r="P128" s="268" t="str">
        <f t="shared" si="25"/>
        <v/>
      </c>
      <c r="Q128" s="268" t="str">
        <f>IF(P128="","",SUM($P$45:P128)+$W$115)</f>
        <v/>
      </c>
      <c r="R128" s="268" t="str">
        <f t="shared" si="26"/>
        <v/>
      </c>
      <c r="S128" s="269" t="str">
        <f>IF(OR(M128="a",N128="a"),VLOOKUP("a",'Características dos Cabos'!$D$25:$L$29,9),IF(OR(M128="b",M128="c",N128="b",N128="c"),VLOOKUP("b",'Características dos Cabos'!$D$25:$L$29,9),IF(OR(M128="d",M128="e",N128="d",N128="e"),VLOOKUP("c",'Características dos Cabos'!$D$25:$L$29,9),IF(OR(M128="f",M128="g",M128="h",N128="f",N128="g",N128="h"),VLOOKUP("d",'Características dos Cabos'!$D$25:$L$29,9),IF(OR(M128="i",M128="j",M128="l",M128="m",N128="i",N128="j",N128="l",N128="m"),VLOOKUP("e",'Características dos Cabos'!$D$25:$L$29,9),"")))))</f>
        <v/>
      </c>
      <c r="T128" s="268" t="str">
        <f t="shared" si="27"/>
        <v/>
      </c>
      <c r="U128" s="269" t="str">
        <f>IF(OR(M128="a",N128="a"),VLOOKUP("a",'Características dos Cabos'!$D$25:$L$29,3),IF(OR(M128="b",M128="c",N128="b",N128="c"),VLOOKUP("b",'Características dos Cabos'!$D$25:$L$29,3),IF(OR(M128="d",M128="e",N128="d",N128="e"),VLOOKUP("c",'Características dos Cabos'!$D$25:$L$29,3),IF(OR(M128="f",M128="g",M128="h",N128="f",N128="g",N128="h"),VLOOKUP("d",'Características dos Cabos'!$D$25:$L$29,3),IF(OR(M128="i",M128="j",M128="l",M128="m",N128="i",N128="j",N128="l",N128="m"),VLOOKUP("e",'Características dos Cabos'!$D$25:$L$29,3),"")))))</f>
        <v/>
      </c>
      <c r="V128" s="270" t="str">
        <f t="shared" si="28"/>
        <v/>
      </c>
      <c r="W128" s="243"/>
      <c r="X128" s="257">
        <f t="shared" si="29"/>
        <v>0</v>
      </c>
      <c r="Y128" s="257">
        <f t="shared" si="30"/>
        <v>0</v>
      </c>
      <c r="Z128" s="243"/>
    </row>
    <row r="129" spans="1:26" ht="15" customHeight="1">
      <c r="A129" s="639"/>
      <c r="B129" s="642"/>
      <c r="C129" s="27"/>
      <c r="D129" s="23"/>
      <c r="E129" s="38"/>
      <c r="F129" s="92" t="str">
        <f t="shared" si="16"/>
        <v/>
      </c>
      <c r="G129" s="38"/>
      <c r="H129" s="265" t="str">
        <f>IF(AND(E129="",G129=""),"",SUM(F129:G134))</f>
        <v/>
      </c>
      <c r="J129" s="23"/>
      <c r="K129" s="23"/>
      <c r="L129" s="266" t="str">
        <f>IF(OR(J129="",K129=""),"",IF(J129="3",VLOOKUP(M129,'K% (Rede Convencional)'!$B$18:$M$29,8),(IF(J129="2",VLOOKUP(N129,'K% (Rede Convencional)'!$B$18:$M$29,9),(IF(J129="1",VLOOKUP(N129,'K% (Rede Convencional)'!$B$18:$M$29,10),(IF(J129="13",VLOOKUP(N129,'K% (Rede Convencional)'!$B$18:$M$29,11),(IF(J129="12",VLOOKUP(N129,'K% (Rede Convencional)'!$B$18:$M$29,12),0))))))))))</f>
        <v/>
      </c>
      <c r="M129" s="267" t="str">
        <f t="shared" si="24"/>
        <v/>
      </c>
      <c r="N129" s="267" t="str">
        <f>IF(K129="","",IF(K129="4 (4)","a",IF(OR(K129="2 (4)",K129="2 (2)"),VLOOKUP(K129,BT!$AE$21:$AF$22,2,FALSE),IF(OR(K129="1/0 (4)",K129="1/0 (2)"),VLOOKUP(K129,BT!$AE$24:$AF$25,2,FALSE),IF(OR(K129="4/0 (4)",K129="4/0 (2)",K129="4/0 (1/0)"),VLOOKUP(K129,BT!$AE$27:$AF$29,2,FALSE),IF(OR(K129="336,4 (4)",K129="336,4 (2)",K129="336,4 (1/0)",K129="336,4 (4/0)"),VLOOKUP(K129,BT!$AE$31:$AF$34,2,FALSE),0))))))</f>
        <v/>
      </c>
      <c r="O129" s="38"/>
      <c r="P129" s="268" t="str">
        <f t="shared" si="25"/>
        <v/>
      </c>
      <c r="Q129" s="268" t="str">
        <f>IF(P129="","",SUM($P$45:P129)+$W$115)</f>
        <v/>
      </c>
      <c r="R129" s="268" t="str">
        <f t="shared" si="26"/>
        <v/>
      </c>
      <c r="S129" s="269" t="str">
        <f>IF(OR(M129="a",N129="a"),VLOOKUP("a",'Características dos Cabos'!$D$25:$L$29,9),IF(OR(M129="b",M129="c",N129="b",N129="c"),VLOOKUP("b",'Características dos Cabos'!$D$25:$L$29,9),IF(OR(M129="d",M129="e",N129="d",N129="e"),VLOOKUP("c",'Características dos Cabos'!$D$25:$L$29,9),IF(OR(M129="f",M129="g",M129="h",N129="f",N129="g",N129="h"),VLOOKUP("d",'Características dos Cabos'!$D$25:$L$29,9),IF(OR(M129="i",M129="j",M129="l",M129="m",N129="i",N129="j",N129="l",N129="m"),VLOOKUP("e",'Características dos Cabos'!$D$25:$L$29,9),"")))))</f>
        <v/>
      </c>
      <c r="T129" s="268" t="str">
        <f t="shared" si="27"/>
        <v/>
      </c>
      <c r="U129" s="269" t="str">
        <f>IF(OR(M129="a",N129="a"),VLOOKUP("a",'Características dos Cabos'!$D$25:$L$29,3),IF(OR(M129="b",M129="c",N129="b",N129="c"),VLOOKUP("b",'Características dos Cabos'!$D$25:$L$29,3),IF(OR(M129="d",M129="e",N129="d",N129="e"),VLOOKUP("c",'Características dos Cabos'!$D$25:$L$29,3),IF(OR(M129="f",M129="g",M129="h",N129="f",N129="g",N129="h"),VLOOKUP("d",'Características dos Cabos'!$D$25:$L$29,3),IF(OR(M129="i",M129="j",M129="l",M129="m",N129="i",N129="j",N129="l",N129="m"),VLOOKUP("e",'Características dos Cabos'!$D$25:$L$29,3),"")))))</f>
        <v/>
      </c>
      <c r="V129" s="270" t="str">
        <f t="shared" si="28"/>
        <v/>
      </c>
      <c r="W129" s="243"/>
      <c r="X129" s="257">
        <f t="shared" si="29"/>
        <v>0</v>
      </c>
      <c r="Y129" s="257">
        <f t="shared" si="30"/>
        <v>0</v>
      </c>
      <c r="Z129" s="243"/>
    </row>
    <row r="130" spans="1:26" ht="15" customHeight="1">
      <c r="A130" s="639"/>
      <c r="B130" s="642"/>
      <c r="C130" s="27"/>
      <c r="D130" s="23"/>
      <c r="E130" s="38"/>
      <c r="F130" s="92" t="str">
        <f t="shared" si="16"/>
        <v/>
      </c>
      <c r="G130" s="38"/>
      <c r="H130" s="265" t="str">
        <f>IF(AND(E130="",G130=""),"",SUM(F130:G134))</f>
        <v/>
      </c>
      <c r="J130" s="23"/>
      <c r="K130" s="23"/>
      <c r="L130" s="266" t="str">
        <f>IF(OR(J130="",K130=""),"",IF(J130="3",VLOOKUP(M130,'K% (Rede Convencional)'!$B$18:$M$29,8),(IF(J130="2",VLOOKUP(N130,'K% (Rede Convencional)'!$B$18:$M$29,9),(IF(J130="1",VLOOKUP(N130,'K% (Rede Convencional)'!$B$18:$M$29,10),(IF(J130="13",VLOOKUP(N130,'K% (Rede Convencional)'!$B$18:$M$29,11),(IF(J130="12",VLOOKUP(N130,'K% (Rede Convencional)'!$B$18:$M$29,12),0))))))))))</f>
        <v/>
      </c>
      <c r="M130" s="267" t="str">
        <f t="shared" si="24"/>
        <v/>
      </c>
      <c r="N130" s="267" t="str">
        <f>IF(K130="","",IF(K130="4 (4)","a",IF(OR(K130="2 (4)",K130="2 (2)"),VLOOKUP(K130,BT!$AE$21:$AF$22,2,FALSE),IF(OR(K130="1/0 (4)",K130="1/0 (2)"),VLOOKUP(K130,BT!$AE$24:$AF$25,2,FALSE),IF(OR(K130="4/0 (4)",K130="4/0 (2)",K130="4/0 (1/0)"),VLOOKUP(K130,BT!$AE$27:$AF$29,2,FALSE),IF(OR(K130="336,4 (4)",K130="336,4 (2)",K130="336,4 (1/0)",K130="336,4 (4/0)"),VLOOKUP(K130,BT!$AE$31:$AF$34,2,FALSE),0))))))</f>
        <v/>
      </c>
      <c r="O130" s="38"/>
      <c r="P130" s="268" t="str">
        <f t="shared" si="25"/>
        <v/>
      </c>
      <c r="Q130" s="268" t="str">
        <f>IF(P130="","",SUM($P$45:P130)+$W$115)</f>
        <v/>
      </c>
      <c r="R130" s="268" t="str">
        <f t="shared" si="26"/>
        <v/>
      </c>
      <c r="S130" s="269" t="str">
        <f>IF(OR(M130="a",N130="a"),VLOOKUP("a",'Características dos Cabos'!$D$25:$L$29,9),IF(OR(M130="b",M130="c",N130="b",N130="c"),VLOOKUP("b",'Características dos Cabos'!$D$25:$L$29,9),IF(OR(M130="d",M130="e",N130="d",N130="e"),VLOOKUP("c",'Características dos Cabos'!$D$25:$L$29,9),IF(OR(M130="f",M130="g",M130="h",N130="f",N130="g",N130="h"),VLOOKUP("d",'Características dos Cabos'!$D$25:$L$29,9),IF(OR(M130="i",M130="j",M130="l",M130="m",N130="i",N130="j",N130="l",N130="m"),VLOOKUP("e",'Características dos Cabos'!$D$25:$L$29,9),"")))))</f>
        <v/>
      </c>
      <c r="T130" s="268" t="str">
        <f t="shared" si="27"/>
        <v/>
      </c>
      <c r="U130" s="269" t="str">
        <f>IF(OR(M130="a",N130="a"),VLOOKUP("a",'Características dos Cabos'!$D$25:$L$29,3),IF(OR(M130="b",M130="c",N130="b",N130="c"),VLOOKUP("b",'Características dos Cabos'!$D$25:$L$29,3),IF(OR(M130="d",M130="e",N130="d",N130="e"),VLOOKUP("c",'Características dos Cabos'!$D$25:$L$29,3),IF(OR(M130="f",M130="g",M130="h",N130="f",N130="g",N130="h"),VLOOKUP("d",'Características dos Cabos'!$D$25:$L$29,3),IF(OR(M130="i",M130="j",M130="l",M130="m",N130="i",N130="j",N130="l",N130="m"),VLOOKUP("e",'Características dos Cabos'!$D$25:$L$29,3),"")))))</f>
        <v/>
      </c>
      <c r="V130" s="270" t="str">
        <f t="shared" si="28"/>
        <v/>
      </c>
      <c r="W130" s="243"/>
      <c r="X130" s="257">
        <f t="shared" si="29"/>
        <v>0</v>
      </c>
      <c r="Y130" s="257">
        <f t="shared" si="30"/>
        <v>0</v>
      </c>
      <c r="Z130" s="243"/>
    </row>
    <row r="131" spans="1:26" ht="15" customHeight="1">
      <c r="A131" s="639"/>
      <c r="B131" s="642"/>
      <c r="C131" s="27"/>
      <c r="D131" s="23"/>
      <c r="E131" s="38"/>
      <c r="F131" s="92" t="str">
        <f t="shared" si="16"/>
        <v/>
      </c>
      <c r="G131" s="38"/>
      <c r="H131" s="265" t="str">
        <f>IF(AND(E131="",G131=""),"",SUM(F131:G134))</f>
        <v/>
      </c>
      <c r="J131" s="23"/>
      <c r="K131" s="23"/>
      <c r="L131" s="266" t="str">
        <f>IF(OR(J131="",K131=""),"",IF(J131="3",VLOOKUP(M131,'K% (Rede Convencional)'!$B$18:$M$29,8),(IF(J131="2",VLOOKUP(N131,'K% (Rede Convencional)'!$B$18:$M$29,9),(IF(J131="1",VLOOKUP(N131,'K% (Rede Convencional)'!$B$18:$M$29,10),(IF(J131="13",VLOOKUP(N131,'K% (Rede Convencional)'!$B$18:$M$29,11),(IF(J131="12",VLOOKUP(N131,'K% (Rede Convencional)'!$B$18:$M$29,12),0))))))))))</f>
        <v/>
      </c>
      <c r="M131" s="267" t="str">
        <f t="shared" si="24"/>
        <v/>
      </c>
      <c r="N131" s="267" t="str">
        <f>IF(K131="","",IF(K131="4 (4)","a",IF(OR(K131="2 (4)",K131="2 (2)"),VLOOKUP(K131,BT!$AE$21:$AF$22,2,FALSE),IF(OR(K131="1/0 (4)",K131="1/0 (2)"),VLOOKUP(K131,BT!$AE$24:$AF$25,2,FALSE),IF(OR(K131="4/0 (4)",K131="4/0 (2)",K131="4/0 (1/0)"),VLOOKUP(K131,BT!$AE$27:$AF$29,2,FALSE),IF(OR(K131="336,4 (4)",K131="336,4 (2)",K131="336,4 (1/0)",K131="336,4 (4/0)"),VLOOKUP(K131,BT!$AE$31:$AF$34,2,FALSE),0))))))</f>
        <v/>
      </c>
      <c r="O131" s="38"/>
      <c r="P131" s="268" t="str">
        <f t="shared" si="25"/>
        <v/>
      </c>
      <c r="Q131" s="268" t="str">
        <f>IF(P131="","",SUM($P$45:P131)+$W$115)</f>
        <v/>
      </c>
      <c r="R131" s="268" t="str">
        <f t="shared" si="26"/>
        <v/>
      </c>
      <c r="S131" s="269" t="str">
        <f>IF(OR(M131="a",N131="a"),VLOOKUP("a",'Características dos Cabos'!$D$25:$L$29,9),IF(OR(M131="b",M131="c",N131="b",N131="c"),VLOOKUP("b",'Características dos Cabos'!$D$25:$L$29,9),IF(OR(M131="d",M131="e",N131="d",N131="e"),VLOOKUP("c",'Características dos Cabos'!$D$25:$L$29,9),IF(OR(M131="f",M131="g",M131="h",N131="f",N131="g",N131="h"),VLOOKUP("d",'Características dos Cabos'!$D$25:$L$29,9),IF(OR(M131="i",M131="j",M131="l",M131="m",N131="i",N131="j",N131="l",N131="m"),VLOOKUP("e",'Características dos Cabos'!$D$25:$L$29,9),"")))))</f>
        <v/>
      </c>
      <c r="T131" s="268" t="str">
        <f t="shared" si="27"/>
        <v/>
      </c>
      <c r="U131" s="269" t="str">
        <f>IF(OR(M131="a",N131="a"),VLOOKUP("a",'Características dos Cabos'!$D$25:$L$29,3),IF(OR(M131="b",M131="c",N131="b",N131="c"),VLOOKUP("b",'Características dos Cabos'!$D$25:$L$29,3),IF(OR(M131="d",M131="e",N131="d",N131="e"),VLOOKUP("c",'Características dos Cabos'!$D$25:$L$29,3),IF(OR(M131="f",M131="g",M131="h",N131="f",N131="g",N131="h"),VLOOKUP("d",'Características dos Cabos'!$D$25:$L$29,3),IF(OR(M131="i",M131="j",M131="l",M131="m",N131="i",N131="j",N131="l",N131="m"),VLOOKUP("e",'Características dos Cabos'!$D$25:$L$29,3),"")))))</f>
        <v/>
      </c>
      <c r="V131" s="270" t="str">
        <f t="shared" si="28"/>
        <v/>
      </c>
      <c r="W131" s="243"/>
      <c r="X131" s="257">
        <f t="shared" si="29"/>
        <v>0</v>
      </c>
      <c r="Y131" s="257">
        <f t="shared" si="30"/>
        <v>0</v>
      </c>
      <c r="Z131" s="243"/>
    </row>
    <row r="132" spans="1:26" ht="15" customHeight="1">
      <c r="A132" s="639"/>
      <c r="B132" s="642"/>
      <c r="C132" s="27"/>
      <c r="D132" s="23"/>
      <c r="E132" s="38"/>
      <c r="F132" s="92" t="str">
        <f t="shared" si="16"/>
        <v/>
      </c>
      <c r="G132" s="38"/>
      <c r="H132" s="265" t="str">
        <f>IF(AND(E132="",G132=""),"",SUM(F132:G134))</f>
        <v/>
      </c>
      <c r="J132" s="23"/>
      <c r="K132" s="23"/>
      <c r="L132" s="266" t="str">
        <f>IF(OR(J132="",K132=""),"",IF(J132="3",VLOOKUP(M132,'K% (Rede Convencional)'!$B$18:$M$29,8),(IF(J132="2",VLOOKUP(N132,'K% (Rede Convencional)'!$B$18:$M$29,9),(IF(J132="1",VLOOKUP(N132,'K% (Rede Convencional)'!$B$18:$M$29,10),(IF(J132="13",VLOOKUP(N132,'K% (Rede Convencional)'!$B$18:$M$29,11),(IF(J132="12",VLOOKUP(N132,'K% (Rede Convencional)'!$B$18:$M$29,12),0))))))))))</f>
        <v/>
      </c>
      <c r="M132" s="267" t="str">
        <f t="shared" si="24"/>
        <v/>
      </c>
      <c r="N132" s="267" t="str">
        <f>IF(K132="","",IF(K132="4 (4)","a",IF(OR(K132="2 (4)",K132="2 (2)"),VLOOKUP(K132,BT!$AE$21:$AF$22,2,FALSE),IF(OR(K132="1/0 (4)",K132="1/0 (2)"),VLOOKUP(K132,BT!$AE$24:$AF$25,2,FALSE),IF(OR(K132="4/0 (4)",K132="4/0 (2)",K132="4/0 (1/0)"),VLOOKUP(K132,BT!$AE$27:$AF$29,2,FALSE),IF(OR(K132="336,4 (4)",K132="336,4 (2)",K132="336,4 (1/0)",K132="336,4 (4/0)"),VLOOKUP(K132,BT!$AE$31:$AF$34,2,FALSE),0))))))</f>
        <v/>
      </c>
      <c r="O132" s="38"/>
      <c r="P132" s="268" t="str">
        <f t="shared" si="25"/>
        <v/>
      </c>
      <c r="Q132" s="268" t="str">
        <f>IF(P132="","",SUM($P$45:P132)+$W$115)</f>
        <v/>
      </c>
      <c r="R132" s="268" t="str">
        <f t="shared" si="26"/>
        <v/>
      </c>
      <c r="S132" s="269" t="str">
        <f>IF(OR(M132="a",N132="a"),VLOOKUP("a",'Características dos Cabos'!$D$25:$L$29,9),IF(OR(M132="b",M132="c",N132="b",N132="c"),VLOOKUP("b",'Características dos Cabos'!$D$25:$L$29,9),IF(OR(M132="d",M132="e",N132="d",N132="e"),VLOOKUP("c",'Características dos Cabos'!$D$25:$L$29,9),IF(OR(M132="f",M132="g",M132="h",N132="f",N132="g",N132="h"),VLOOKUP("d",'Características dos Cabos'!$D$25:$L$29,9),IF(OR(M132="i",M132="j",M132="l",M132="m",N132="i",N132="j",N132="l",N132="m"),VLOOKUP("e",'Características dos Cabos'!$D$25:$L$29,9),"")))))</f>
        <v/>
      </c>
      <c r="T132" s="268" t="str">
        <f t="shared" si="27"/>
        <v/>
      </c>
      <c r="U132" s="269" t="str">
        <f>IF(OR(M132="a",N132="a"),VLOOKUP("a",'Características dos Cabos'!$D$25:$L$29,3),IF(OR(M132="b",M132="c",N132="b",N132="c"),VLOOKUP("b",'Características dos Cabos'!$D$25:$L$29,3),IF(OR(M132="d",M132="e",N132="d",N132="e"),VLOOKUP("c",'Características dos Cabos'!$D$25:$L$29,3),IF(OR(M132="f",M132="g",M132="h",N132="f",N132="g",N132="h"),VLOOKUP("d",'Características dos Cabos'!$D$25:$L$29,3),IF(OR(M132="i",M132="j",M132="l",M132="m",N132="i",N132="j",N132="l",N132="m"),VLOOKUP("e",'Características dos Cabos'!$D$25:$L$29,3),"")))))</f>
        <v/>
      </c>
      <c r="V132" s="270" t="str">
        <f t="shared" si="28"/>
        <v/>
      </c>
      <c r="W132" s="243"/>
      <c r="X132" s="257">
        <f t="shared" si="29"/>
        <v>0</v>
      </c>
      <c r="Y132" s="257">
        <f t="shared" si="30"/>
        <v>0</v>
      </c>
      <c r="Z132" s="243"/>
    </row>
    <row r="133" spans="1:26" ht="15" customHeight="1">
      <c r="A133" s="639"/>
      <c r="B133" s="642"/>
      <c r="C133" s="27"/>
      <c r="D133" s="23"/>
      <c r="E133" s="38"/>
      <c r="F133" s="92" t="str">
        <f t="shared" si="16"/>
        <v/>
      </c>
      <c r="G133" s="38"/>
      <c r="H133" s="265" t="str">
        <f>IF(AND(E133="",G133=""),"",SUM(F133:G134))</f>
        <v/>
      </c>
      <c r="J133" s="23"/>
      <c r="K133" s="23"/>
      <c r="L133" s="266" t="str">
        <f>IF(OR(J133="",K133=""),"",IF(J133="3",VLOOKUP(M133,'K% (Rede Convencional)'!$B$18:$M$29,8),(IF(J133="2",VLOOKUP(N133,'K% (Rede Convencional)'!$B$18:$M$29,9),(IF(J133="1",VLOOKUP(N133,'K% (Rede Convencional)'!$B$18:$M$29,10),(IF(J133="13",VLOOKUP(N133,'K% (Rede Convencional)'!$B$18:$M$29,11),(IF(J133="12",VLOOKUP(N133,'K% (Rede Convencional)'!$B$18:$M$29,12),0))))))))))</f>
        <v/>
      </c>
      <c r="M133" s="267" t="str">
        <f t="shared" si="24"/>
        <v/>
      </c>
      <c r="N133" s="267" t="str">
        <f>IF(K133="","",IF(K133="4 (4)","a",IF(OR(K133="2 (4)",K133="2 (2)"),VLOOKUP(K133,BT!$AE$21:$AF$22,2,FALSE),IF(OR(K133="1/0 (4)",K133="1/0 (2)"),VLOOKUP(K133,BT!$AE$24:$AF$25,2,FALSE),IF(OR(K133="4/0 (4)",K133="4/0 (2)",K133="4/0 (1/0)"),VLOOKUP(K133,BT!$AE$27:$AF$29,2,FALSE),IF(OR(K133="336,4 (4)",K133="336,4 (2)",K133="336,4 (1/0)",K133="336,4 (4/0)"),VLOOKUP(K133,BT!$AE$31:$AF$34,2,FALSE),0))))))</f>
        <v/>
      </c>
      <c r="O133" s="38"/>
      <c r="P133" s="268" t="str">
        <f t="shared" si="25"/>
        <v/>
      </c>
      <c r="Q133" s="268" t="str">
        <f>IF(P133="","",SUM($P$45:P133)+$W$115)</f>
        <v/>
      </c>
      <c r="R133" s="268" t="str">
        <f t="shared" si="26"/>
        <v/>
      </c>
      <c r="S133" s="269" t="str">
        <f>IF(OR(M133="a",N133="a"),VLOOKUP("a",'Características dos Cabos'!$D$25:$L$29,9),IF(OR(M133="b",M133="c",N133="b",N133="c"),VLOOKUP("b",'Características dos Cabos'!$D$25:$L$29,9),IF(OR(M133="d",M133="e",N133="d",N133="e"),VLOOKUP("c",'Características dos Cabos'!$D$25:$L$29,9),IF(OR(M133="f",M133="g",M133="h",N133="f",N133="g",N133="h"),VLOOKUP("d",'Características dos Cabos'!$D$25:$L$29,9),IF(OR(M133="i",M133="j",M133="l",M133="m",N133="i",N133="j",N133="l",N133="m"),VLOOKUP("e",'Características dos Cabos'!$D$25:$L$29,9),"")))))</f>
        <v/>
      </c>
      <c r="T133" s="268" t="str">
        <f t="shared" si="27"/>
        <v/>
      </c>
      <c r="U133" s="269" t="str">
        <f>IF(OR(M133="a",N133="a"),VLOOKUP("a",'Características dos Cabos'!$D$25:$L$29,3),IF(OR(M133="b",M133="c",N133="b",N133="c"),VLOOKUP("b",'Características dos Cabos'!$D$25:$L$29,3),IF(OR(M133="d",M133="e",N133="d",N133="e"),VLOOKUP("c",'Características dos Cabos'!$D$25:$L$29,3),IF(OR(M133="f",M133="g",M133="h",N133="f",N133="g",N133="h"),VLOOKUP("d",'Características dos Cabos'!$D$25:$L$29,3),IF(OR(M133="i",M133="j",M133="l",M133="m",N133="i",N133="j",N133="l",N133="m"),VLOOKUP("e",'Características dos Cabos'!$D$25:$L$29,3),"")))))</f>
        <v/>
      </c>
      <c r="V133" s="270" t="str">
        <f t="shared" si="28"/>
        <v/>
      </c>
      <c r="W133" s="243"/>
      <c r="X133" s="257">
        <f t="shared" si="29"/>
        <v>0</v>
      </c>
      <c r="Y133" s="257">
        <f t="shared" si="30"/>
        <v>0</v>
      </c>
      <c r="Z133" s="243"/>
    </row>
    <row r="134" spans="1:26" ht="15" customHeight="1" thickBot="1">
      <c r="A134" s="639"/>
      <c r="B134" s="643"/>
      <c r="C134" s="28"/>
      <c r="D134" s="24"/>
      <c r="E134" s="39"/>
      <c r="F134" s="54" t="str">
        <f t="shared" si="16"/>
        <v/>
      </c>
      <c r="G134" s="39"/>
      <c r="H134" s="286" t="str">
        <f>IF(AND(E134="",G134=""),"",SUM(F134:G134))</f>
        <v/>
      </c>
      <c r="J134" s="24"/>
      <c r="K134" s="24"/>
      <c r="L134" s="287" t="str">
        <f>IF(OR(J134="",K134=""),"",IF(J134="3",VLOOKUP(M134,'K% (Rede Convencional)'!$B$18:$M$29,8),(IF(J134="2",VLOOKUP(N134,'K% (Rede Convencional)'!$B$18:$M$29,9),(IF(J134="1",VLOOKUP(N134,'K% (Rede Convencional)'!$B$18:$M$29,10),(IF(J134="13",VLOOKUP(N134,'K% (Rede Convencional)'!$B$18:$M$29,11),(IF(J134="12",VLOOKUP(N134,'K% (Rede Convencional)'!$B$18:$M$29,12),0))))))))))</f>
        <v/>
      </c>
      <c r="M134" s="288" t="str">
        <f t="shared" si="24"/>
        <v/>
      </c>
      <c r="N134" s="288" t="str">
        <f>IF(K134="","",IF(K134="4 (4)","a",IF(OR(K134="2 (4)",K134="2 (2)"),VLOOKUP(K134,BT!$AE$21:$AF$22,2,FALSE),IF(OR(K134="1/0 (4)",K134="1/0 (2)"),VLOOKUP(K134,BT!$AE$24:$AF$25,2,FALSE),IF(OR(K134="4/0 (4)",K134="4/0 (2)",K134="4/0 (1/0)"),VLOOKUP(K134,BT!$AE$27:$AF$29,2,FALSE),IF(OR(K134="336,4 (4)",K134="336,4 (2)",K134="336,4 (1/0)",K134="336,4 (4/0)"),VLOOKUP(K134,BT!$AE$31:$AF$34,2,FALSE),0))))))</f>
        <v/>
      </c>
      <c r="O134" s="39"/>
      <c r="P134" s="289" t="str">
        <f t="shared" si="25"/>
        <v/>
      </c>
      <c r="Q134" s="289" t="str">
        <f>IF(P134="","",SUM($P$45:P134)+$W$115)</f>
        <v/>
      </c>
      <c r="R134" s="289" t="str">
        <f t="shared" si="26"/>
        <v/>
      </c>
      <c r="S134" s="290" t="str">
        <f>IF(N134="a",VLOOKUP("a",#REF!,9),IF(OR(N134="b",N134="c"),VLOOKUP("b",#REF!,9),IF(OR(N134="d",N134="e"),VLOOKUP("c",#REF!,9),IF(OR(N134="f",N134="g",N134="h"),VLOOKUP("d",#REF!,9),IF(OR(N134="i",N134="j",N134="l",N134="m"),VLOOKUP("e",#REF!,9),"")))))</f>
        <v/>
      </c>
      <c r="T134" s="289" t="str">
        <f t="shared" si="27"/>
        <v/>
      </c>
      <c r="U134" s="290" t="str">
        <f>IF(OR(M134="a",N134="a"),VLOOKUP("a",'Características dos Cabos'!$D$25:$L$29,3),IF(OR(M134="b",M134="c",N134="b",N134="c"),VLOOKUP("b",'Características dos Cabos'!$D$25:$L$29,3),IF(OR(M134="d",M134="e",N134="d",N134="e"),VLOOKUP("c",'Características dos Cabos'!$D$25:$L$29,3),IF(OR(M134="f",M134="g",M134="h",N134="f",N134="g",N134="h"),VLOOKUP("d",'Características dos Cabos'!$D$25:$L$29,3),IF(OR(M134="i",M134="j",M134="l",M134="m",N134="i",N134="j",N134="l",N134="m"),VLOOKUP("e",'Características dos Cabos'!$D$25:$L$29,3),"")))))</f>
        <v/>
      </c>
      <c r="V134" s="291" t="str">
        <f t="shared" si="28"/>
        <v/>
      </c>
      <c r="W134" s="243"/>
      <c r="X134" s="257">
        <f t="shared" si="29"/>
        <v>0</v>
      </c>
      <c r="Y134" s="257">
        <f t="shared" si="30"/>
        <v>0</v>
      </c>
      <c r="Z134" s="243"/>
    </row>
    <row r="135" spans="1:26" ht="15" customHeight="1" thickTop="1">
      <c r="A135" s="639"/>
      <c r="B135" s="641" t="str">
        <f>CONCATENATE("Ramal 10 - Derivando no ponto ",C135)</f>
        <v xml:space="preserve">Ramal 10 - Derivando no ponto </v>
      </c>
      <c r="C135" s="26"/>
      <c r="D135" s="25"/>
      <c r="E135" s="37"/>
      <c r="F135" s="92" t="str">
        <f t="shared" si="16"/>
        <v/>
      </c>
      <c r="G135" s="37"/>
      <c r="H135" s="278" t="str">
        <f>IF(AND(E135="",G135=""),"",SUM(F135:G144))</f>
        <v/>
      </c>
      <c r="J135" s="25"/>
      <c r="K135" s="25"/>
      <c r="L135" s="279" t="str">
        <f>IF(OR(J135="",K135=""),"",IF(J135="3",VLOOKUP(M135,'K% (Rede Convencional)'!$B$18:$M$29,8),(IF(J135="2",VLOOKUP(N135,'K% (Rede Convencional)'!$B$18:$M$29,9),(IF(J135="1",VLOOKUP(N135,'K% (Rede Convencional)'!$B$18:$M$29,10),(IF(J135="13",VLOOKUP(N135,'K% (Rede Convencional)'!$B$18:$M$29,11),(IF(J135="12",VLOOKUP(N135,'K% (Rede Convencional)'!$B$18:$M$29,12),0))))))))))</f>
        <v/>
      </c>
      <c r="M135" s="253" t="str">
        <f t="shared" si="31" ref="M135:M144">IF(K135="4","a",IF(K135="2","b",IF(K135="1/0","d",IF(K135="4/0","f",IF(K135="336,4","i","")))))</f>
        <v/>
      </c>
      <c r="N135" s="253" t="str">
        <f>IF(K135="","",IF(K135="4 (4)","a",IF(OR(K135="2 (4)",K135="2 (2)"),VLOOKUP(K135,BT!$AE$21:$AF$22,2,FALSE),IF(OR(K135="1/0 (4)",K135="1/0 (2)"),VLOOKUP(K135,BT!$AE$24:$AF$25,2,FALSE),IF(OR(K135="4/0 (4)",K135="4/0 (2)",K135="4/0 (1/0)"),VLOOKUP(K135,BT!$AE$27:$AF$29,2,FALSE),IF(OR(K135="336,4 (4)",K135="336,4 (2)",K135="336,4 (1/0)",K135="336,4 (4/0)"),VLOOKUP(K135,BT!$AE$31:$AF$34,2,FALSE),0))))))</f>
        <v/>
      </c>
      <c r="O135" s="37"/>
      <c r="P135" s="280" t="str">
        <f t="shared" si="32" ref="P135:P144">IF(OR(H135="",L135="",O135=""),"",L135*H135*O135)</f>
        <v/>
      </c>
      <c r="Q135" s="280" t="str">
        <f>IF(P135="","",P135+VLOOKUP(C135,$D$21:$Q$43,13,FALSE))</f>
        <v/>
      </c>
      <c r="R135" s="280" t="str">
        <f t="shared" si="33" ref="R135:R144">IF(H135="","",IF(J135="3",H135*1000/($D$14*SQRT(3)),IF(J135="2",H135*1000*SQRT(3)/($D$14*2),IF(J135="1",H135*1000*SQRT(3)/$D$14,IF(J135="13",H135*1000/$D$16,IF(J135="12",H135*1000*2/$D$16,"erro"))))))</f>
        <v/>
      </c>
      <c r="S135" s="281" t="str">
        <f>IF(OR(M135="a",N135="a"),VLOOKUP("a",'Características dos Cabos'!$D$25:$L$29,9),IF(OR(M135="b",M135="c",N135="b",N135="c"),VLOOKUP("b",'Características dos Cabos'!$D$25:$L$29,9),IF(OR(M135="d",M135="e",N135="d",N135="e"),VLOOKUP("c",'Características dos Cabos'!$D$25:$L$29,9),IF(OR(M135="f",M135="g",M135="h",N135="f",N135="g",N135="h"),VLOOKUP("d",'Características dos Cabos'!$D$25:$L$29,9),IF(OR(M135="i",M135="j",M135="l",M135="m",N135="i",N135="j",N135="l",N135="m"),VLOOKUP("e",'Características dos Cabos'!$D$25:$L$29,9),"")))))</f>
        <v/>
      </c>
      <c r="T135" s="280" t="str">
        <f t="shared" si="34" ref="T135:T144">IF(S135="","",R135*100/S135)</f>
        <v/>
      </c>
      <c r="U135" s="281" t="str">
        <f>IF(OR(M135="a",N135="a"),VLOOKUP("a",'Características dos Cabos'!$D$25:$L$29,3),IF(OR(M135="b",M135="c",N135="b",N135="c"),VLOOKUP("b",'Características dos Cabos'!$D$25:$L$29,3),IF(OR(M135="d",M135="e",N135="d",N135="e"),VLOOKUP("c",'Características dos Cabos'!$D$25:$L$29,3),IF(OR(M135="f",M135="g",M135="h",N135="f",N135="g",N135="h"),VLOOKUP("d",'Características dos Cabos'!$D$25:$L$29,3),IF(OR(M135="i",M135="j",M135="l",M135="m",N135="i",N135="j",N135="l",N135="m"),VLOOKUP("e",'Características dos Cabos'!$D$25:$L$29,3),"")))))</f>
        <v/>
      </c>
      <c r="V135" s="282" t="str">
        <f t="shared" si="35" ref="V135:V144">IF(OR(O135="",$G$16="",H135="",N135=""),"",IF(J135="3",3*$L$12*U135*O135/1000*R135^2*8.76,IF(OR(J135="2",J135="13"),2*$L$12*U135*O135/1000*R135^2*8.76,IF(OR(J135="1",J135="12"),$L$12*U135*O135/1000*R135^2*8.76))))</f>
        <v/>
      </c>
      <c r="W135" s="445" t="e">
        <f>VLOOKUP(C135,$D$21:$Q$43,12,FALSE)</f>
        <v>#N/A</v>
      </c>
      <c r="X135" s="257">
        <f t="shared" si="36" ref="X135:X144">D135</f>
        <v>0</v>
      </c>
      <c r="Y135" s="257">
        <f t="shared" si="37" ref="Y135:Y144">K135</f>
        <v>0</v>
      </c>
      <c r="Z135" s="243"/>
    </row>
    <row r="136" spans="1:26" ht="15" customHeight="1">
      <c r="A136" s="639"/>
      <c r="B136" s="642"/>
      <c r="C136" s="27"/>
      <c r="D136" s="23"/>
      <c r="E136" s="38"/>
      <c r="F136" s="92" t="str">
        <f t="shared" si="16"/>
        <v/>
      </c>
      <c r="G136" s="38"/>
      <c r="H136" s="265" t="str">
        <f>IF(AND(E136="",G136=""),"",SUM(F136:G144))</f>
        <v/>
      </c>
      <c r="J136" s="23"/>
      <c r="K136" s="23"/>
      <c r="L136" s="266" t="str">
        <f>IF(OR(J136="",K136=""),"",IF(J136="3",VLOOKUP(M136,'K% (Rede Convencional)'!$B$18:$M$29,8),(IF(J136="2",VLOOKUP(N136,'K% (Rede Convencional)'!$B$18:$M$29,9),(IF(J136="1",VLOOKUP(N136,'K% (Rede Convencional)'!$B$18:$M$29,10),(IF(J136="13",VLOOKUP(N136,'K% (Rede Convencional)'!$B$18:$M$29,11),(IF(J136="12",VLOOKUP(N136,'K% (Rede Convencional)'!$B$18:$M$29,12),0))))))))))</f>
        <v/>
      </c>
      <c r="M136" s="267" t="str">
        <f t="shared" si="31"/>
        <v/>
      </c>
      <c r="N136" s="267" t="str">
        <f>IF(K136="","",IF(K136="4 (4)","a",IF(OR(K136="2 (4)",K136="2 (2)"),VLOOKUP(K136,BT!$AE$21:$AF$22,2,FALSE),IF(OR(K136="1/0 (4)",K136="1/0 (2)"),VLOOKUP(K136,BT!$AE$24:$AF$25,2,FALSE),IF(OR(K136="4/0 (4)",K136="4/0 (2)",K136="4/0 (1/0)"),VLOOKUP(K136,BT!$AE$27:$AF$29,2,FALSE),IF(OR(K136="336,4 (4)",K136="336,4 (2)",K136="336,4 (1/0)",K136="336,4 (4/0)"),VLOOKUP(K136,BT!$AE$31:$AF$34,2,FALSE),0))))))</f>
        <v/>
      </c>
      <c r="O136" s="38"/>
      <c r="P136" s="268" t="str">
        <f t="shared" si="32"/>
        <v/>
      </c>
      <c r="Q136" s="268" t="str">
        <f>IF(P136="","",SUM($P$45:P136)+$W$115)</f>
        <v/>
      </c>
      <c r="R136" s="268" t="str">
        <f t="shared" si="33"/>
        <v/>
      </c>
      <c r="S136" s="269" t="str">
        <f>IF(OR(M136="a",N136="a"),VLOOKUP("a",'Características dos Cabos'!$D$25:$L$29,9),IF(OR(M136="b",M136="c",N136="b",N136="c"),VLOOKUP("b",'Características dos Cabos'!$D$25:$L$29,9),IF(OR(M136="d",M136="e",N136="d",N136="e"),VLOOKUP("c",'Características dos Cabos'!$D$25:$L$29,9),IF(OR(M136="f",M136="g",M136="h",N136="f",N136="g",N136="h"),VLOOKUP("d",'Características dos Cabos'!$D$25:$L$29,9),IF(OR(M136="i",M136="j",M136="l",M136="m",N136="i",N136="j",N136="l",N136="m"),VLOOKUP("e",'Características dos Cabos'!$D$25:$L$29,9),"")))))</f>
        <v/>
      </c>
      <c r="T136" s="268" t="str">
        <f t="shared" si="34"/>
        <v/>
      </c>
      <c r="U136" s="269" t="str">
        <f>IF(OR(M136="a",N136="a"),VLOOKUP("a",'Características dos Cabos'!$D$25:$L$29,3),IF(OR(M136="b",M136="c",N136="b",N136="c"),VLOOKUP("b",'Características dos Cabos'!$D$25:$L$29,3),IF(OR(M136="d",M136="e",N136="d",N136="e"),VLOOKUP("c",'Características dos Cabos'!$D$25:$L$29,3),IF(OR(M136="f",M136="g",M136="h",N136="f",N136="g",N136="h"),VLOOKUP("d",'Características dos Cabos'!$D$25:$L$29,3),IF(OR(M136="i",M136="j",M136="l",M136="m",N136="i",N136="j",N136="l",N136="m"),VLOOKUP("e",'Características dos Cabos'!$D$25:$L$29,3),"")))))</f>
        <v/>
      </c>
      <c r="V136" s="270" t="str">
        <f t="shared" si="35"/>
        <v/>
      </c>
      <c r="W136" s="243"/>
      <c r="X136" s="257">
        <f t="shared" si="36"/>
        <v>0</v>
      </c>
      <c r="Y136" s="257">
        <f t="shared" si="37"/>
        <v>0</v>
      </c>
      <c r="Z136" s="243"/>
    </row>
    <row r="137" spans="1:26" ht="15" customHeight="1">
      <c r="A137" s="639"/>
      <c r="B137" s="642"/>
      <c r="C137" s="27"/>
      <c r="D137" s="23"/>
      <c r="E137" s="38"/>
      <c r="F137" s="92" t="str">
        <f t="shared" si="16"/>
        <v/>
      </c>
      <c r="G137" s="38"/>
      <c r="H137" s="265" t="str">
        <f>IF(AND(E137="",G137=""),"",SUM(F137:G144))</f>
        <v/>
      </c>
      <c r="J137" s="23"/>
      <c r="K137" s="23"/>
      <c r="L137" s="266" t="str">
        <f>IF(OR(J137="",K137=""),"",IF(J137="3",VLOOKUP(M137,'K% (Rede Convencional)'!$B$18:$M$29,8),(IF(J137="2",VLOOKUP(N137,'K% (Rede Convencional)'!$B$18:$M$29,9),(IF(J137="1",VLOOKUP(N137,'K% (Rede Convencional)'!$B$18:$M$29,10),(IF(J137="13",VLOOKUP(N137,'K% (Rede Convencional)'!$B$18:$M$29,11),(IF(J137="12",VLOOKUP(N137,'K% (Rede Convencional)'!$B$18:$M$29,12),0))))))))))</f>
        <v/>
      </c>
      <c r="M137" s="267" t="str">
        <f t="shared" si="31"/>
        <v/>
      </c>
      <c r="N137" s="267" t="str">
        <f>IF(K137="","",IF(K137="4 (4)","a",IF(OR(K137="2 (4)",K137="2 (2)"),VLOOKUP(K137,BT!$AE$21:$AF$22,2,FALSE),IF(OR(K137="1/0 (4)",K137="1/0 (2)"),VLOOKUP(K137,BT!$AE$24:$AF$25,2,FALSE),IF(OR(K137="4/0 (4)",K137="4/0 (2)",K137="4/0 (1/0)"),VLOOKUP(K137,BT!$AE$27:$AF$29,2,FALSE),IF(OR(K137="336,4 (4)",K137="336,4 (2)",K137="336,4 (1/0)",K137="336,4 (4/0)"),VLOOKUP(K137,BT!$AE$31:$AF$34,2,FALSE),0))))))</f>
        <v/>
      </c>
      <c r="O137" s="38"/>
      <c r="P137" s="268" t="str">
        <f t="shared" si="32"/>
        <v/>
      </c>
      <c r="Q137" s="268" t="str">
        <f>IF(P137="","",SUM($P$45:P137)+$W$115)</f>
        <v/>
      </c>
      <c r="R137" s="268" t="str">
        <f t="shared" si="33"/>
        <v/>
      </c>
      <c r="S137" s="269" t="str">
        <f>IF(OR(M137="a",N137="a"),VLOOKUP("a",'Características dos Cabos'!$D$25:$L$29,9),IF(OR(M137="b",M137="c",N137="b",N137="c"),VLOOKUP("b",'Características dos Cabos'!$D$25:$L$29,9),IF(OR(M137="d",M137="e",N137="d",N137="e"),VLOOKUP("c",'Características dos Cabos'!$D$25:$L$29,9),IF(OR(M137="f",M137="g",M137="h",N137="f",N137="g",N137="h"),VLOOKUP("d",'Características dos Cabos'!$D$25:$L$29,9),IF(OR(M137="i",M137="j",M137="l",M137="m",N137="i",N137="j",N137="l",N137="m"),VLOOKUP("e",'Características dos Cabos'!$D$25:$L$29,9),"")))))</f>
        <v/>
      </c>
      <c r="T137" s="268" t="str">
        <f t="shared" si="34"/>
        <v/>
      </c>
      <c r="U137" s="269" t="str">
        <f>IF(OR(M137="a",N137="a"),VLOOKUP("a",'Características dos Cabos'!$D$25:$L$29,3),IF(OR(M137="b",M137="c",N137="b",N137="c"),VLOOKUP("b",'Características dos Cabos'!$D$25:$L$29,3),IF(OR(M137="d",M137="e",N137="d",N137="e"),VLOOKUP("c",'Características dos Cabos'!$D$25:$L$29,3),IF(OR(M137="f",M137="g",M137="h",N137="f",N137="g",N137="h"),VLOOKUP("d",'Características dos Cabos'!$D$25:$L$29,3),IF(OR(M137="i",M137="j",M137="l",M137="m",N137="i",N137="j",N137="l",N137="m"),VLOOKUP("e",'Características dos Cabos'!$D$25:$L$29,3),"")))))</f>
        <v/>
      </c>
      <c r="V137" s="270" t="str">
        <f t="shared" si="35"/>
        <v/>
      </c>
      <c r="W137" s="243"/>
      <c r="X137" s="257">
        <f t="shared" si="36"/>
        <v>0</v>
      </c>
      <c r="Y137" s="257">
        <f t="shared" si="37"/>
        <v>0</v>
      </c>
      <c r="Z137" s="243"/>
    </row>
    <row r="138" spans="1:26" ht="15" customHeight="1">
      <c r="A138" s="639"/>
      <c r="B138" s="642"/>
      <c r="C138" s="27"/>
      <c r="D138" s="23"/>
      <c r="E138" s="38"/>
      <c r="F138" s="92" t="str">
        <f t="shared" si="16"/>
        <v/>
      </c>
      <c r="G138" s="38"/>
      <c r="H138" s="265" t="str">
        <f>IF(AND(E138="",G138=""),"",SUM(F138:G144))</f>
        <v/>
      </c>
      <c r="J138" s="23"/>
      <c r="K138" s="23"/>
      <c r="L138" s="266" t="str">
        <f>IF(OR(J138="",K138=""),"",IF(J138="3",VLOOKUP(M138,'K% (Rede Convencional)'!$B$18:$M$29,8),(IF(J138="2",VLOOKUP(N138,'K% (Rede Convencional)'!$B$18:$M$29,9),(IF(J138="1",VLOOKUP(N138,'K% (Rede Convencional)'!$B$18:$M$29,10),(IF(J138="13",VLOOKUP(N138,'K% (Rede Convencional)'!$B$18:$M$29,11),(IF(J138="12",VLOOKUP(N138,'K% (Rede Convencional)'!$B$18:$M$29,12),0))))))))))</f>
        <v/>
      </c>
      <c r="M138" s="267" t="str">
        <f t="shared" si="31"/>
        <v/>
      </c>
      <c r="N138" s="267" t="str">
        <f>IF(K138="","",IF(K138="4 (4)","a",IF(OR(K138="2 (4)",K138="2 (2)"),VLOOKUP(K138,BT!$AE$21:$AF$22,2,FALSE),IF(OR(K138="1/0 (4)",K138="1/0 (2)"),VLOOKUP(K138,BT!$AE$24:$AF$25,2,FALSE),IF(OR(K138="4/0 (4)",K138="4/0 (2)",K138="4/0 (1/0)"),VLOOKUP(K138,BT!$AE$27:$AF$29,2,FALSE),IF(OR(K138="336,4 (4)",K138="336,4 (2)",K138="336,4 (1/0)",K138="336,4 (4/0)"),VLOOKUP(K138,BT!$AE$31:$AF$34,2,FALSE),0))))))</f>
        <v/>
      </c>
      <c r="O138" s="38"/>
      <c r="P138" s="268" t="str">
        <f t="shared" si="32"/>
        <v/>
      </c>
      <c r="Q138" s="268" t="str">
        <f>IF(P138="","",SUM($P$45:P138)+$W$115)</f>
        <v/>
      </c>
      <c r="R138" s="268" t="str">
        <f t="shared" si="33"/>
        <v/>
      </c>
      <c r="S138" s="269" t="str">
        <f>IF(OR(M138="a",N138="a"),VLOOKUP("a",'Características dos Cabos'!$D$25:$L$29,9),IF(OR(M138="b",M138="c",N138="b",N138="c"),VLOOKUP("b",'Características dos Cabos'!$D$25:$L$29,9),IF(OR(M138="d",M138="e",N138="d",N138="e"),VLOOKUP("c",'Características dos Cabos'!$D$25:$L$29,9),IF(OR(M138="f",M138="g",M138="h",N138="f",N138="g",N138="h"),VLOOKUP("d",'Características dos Cabos'!$D$25:$L$29,9),IF(OR(M138="i",M138="j",M138="l",M138="m",N138="i",N138="j",N138="l",N138="m"),VLOOKUP("e",'Características dos Cabos'!$D$25:$L$29,9),"")))))</f>
        <v/>
      </c>
      <c r="T138" s="268" t="str">
        <f t="shared" si="34"/>
        <v/>
      </c>
      <c r="U138" s="269" t="str">
        <f>IF(OR(M138="a",N138="a"),VLOOKUP("a",'Características dos Cabos'!$D$25:$L$29,3),IF(OR(M138="b",M138="c",N138="b",N138="c"),VLOOKUP("b",'Características dos Cabos'!$D$25:$L$29,3),IF(OR(M138="d",M138="e",N138="d",N138="e"),VLOOKUP("c",'Características dos Cabos'!$D$25:$L$29,3),IF(OR(M138="f",M138="g",M138="h",N138="f",N138="g",N138="h"),VLOOKUP("d",'Características dos Cabos'!$D$25:$L$29,3),IF(OR(M138="i",M138="j",M138="l",M138="m",N138="i",N138="j",N138="l",N138="m"),VLOOKUP("e",'Características dos Cabos'!$D$25:$L$29,3),"")))))</f>
        <v/>
      </c>
      <c r="V138" s="270" t="str">
        <f t="shared" si="35"/>
        <v/>
      </c>
      <c r="W138" s="243"/>
      <c r="X138" s="257">
        <f t="shared" si="36"/>
        <v>0</v>
      </c>
      <c r="Y138" s="257">
        <f t="shared" si="37"/>
        <v>0</v>
      </c>
      <c r="Z138" s="243"/>
    </row>
    <row r="139" spans="1:26" ht="15" customHeight="1">
      <c r="A139" s="639"/>
      <c r="B139" s="642"/>
      <c r="C139" s="27"/>
      <c r="D139" s="23"/>
      <c r="E139" s="38"/>
      <c r="F139" s="92" t="str">
        <f t="shared" si="16"/>
        <v/>
      </c>
      <c r="G139" s="38"/>
      <c r="H139" s="265" t="str">
        <f>IF(AND(E139="",G139=""),"",SUM(F139:G144))</f>
        <v/>
      </c>
      <c r="J139" s="23"/>
      <c r="K139" s="23"/>
      <c r="L139" s="266" t="str">
        <f>IF(OR(J139="",K139=""),"",IF(J139="3",VLOOKUP(M139,'K% (Rede Convencional)'!$B$18:$M$29,8),(IF(J139="2",VLOOKUP(N139,'K% (Rede Convencional)'!$B$18:$M$29,9),(IF(J139="1",VLOOKUP(N139,'K% (Rede Convencional)'!$B$18:$M$29,10),(IF(J139="13",VLOOKUP(N139,'K% (Rede Convencional)'!$B$18:$M$29,11),(IF(J139="12",VLOOKUP(N139,'K% (Rede Convencional)'!$B$18:$M$29,12),0))))))))))</f>
        <v/>
      </c>
      <c r="M139" s="267" t="str">
        <f t="shared" si="31"/>
        <v/>
      </c>
      <c r="N139" s="267" t="str">
        <f>IF(K139="","",IF(K139="4 (4)","a",IF(OR(K139="2 (4)",K139="2 (2)"),VLOOKUP(K139,BT!$AE$21:$AF$22,2,FALSE),IF(OR(K139="1/0 (4)",K139="1/0 (2)"),VLOOKUP(K139,BT!$AE$24:$AF$25,2,FALSE),IF(OR(K139="4/0 (4)",K139="4/0 (2)",K139="4/0 (1/0)"),VLOOKUP(K139,BT!$AE$27:$AF$29,2,FALSE),IF(OR(K139="336,4 (4)",K139="336,4 (2)",K139="336,4 (1/0)",K139="336,4 (4/0)"),VLOOKUP(K139,BT!$AE$31:$AF$34,2,FALSE),0))))))</f>
        <v/>
      </c>
      <c r="O139" s="38"/>
      <c r="P139" s="268" t="str">
        <f t="shared" si="32"/>
        <v/>
      </c>
      <c r="Q139" s="268" t="str">
        <f>IF(P139="","",SUM($P$45:P139)+$W$115)</f>
        <v/>
      </c>
      <c r="R139" s="268" t="str">
        <f t="shared" si="33"/>
        <v/>
      </c>
      <c r="S139" s="269" t="str">
        <f>IF(OR(M139="a",N139="a"),VLOOKUP("a",'Características dos Cabos'!$D$25:$L$29,9),IF(OR(M139="b",M139="c",N139="b",N139="c"),VLOOKUP("b",'Características dos Cabos'!$D$25:$L$29,9),IF(OR(M139="d",M139="e",N139="d",N139="e"),VLOOKUP("c",'Características dos Cabos'!$D$25:$L$29,9),IF(OR(M139="f",M139="g",M139="h",N139="f",N139="g",N139="h"),VLOOKUP("d",'Características dos Cabos'!$D$25:$L$29,9),IF(OR(M139="i",M139="j",M139="l",M139="m",N139="i",N139="j",N139="l",N139="m"),VLOOKUP("e",'Características dos Cabos'!$D$25:$L$29,9),"")))))</f>
        <v/>
      </c>
      <c r="T139" s="268" t="str">
        <f t="shared" si="34"/>
        <v/>
      </c>
      <c r="U139" s="269" t="str">
        <f>IF(OR(M139="a",N139="a"),VLOOKUP("a",'Características dos Cabos'!$D$25:$L$29,3),IF(OR(M139="b",M139="c",N139="b",N139="c"),VLOOKUP("b",'Características dos Cabos'!$D$25:$L$29,3),IF(OR(M139="d",M139="e",N139="d",N139="e"),VLOOKUP("c",'Características dos Cabos'!$D$25:$L$29,3),IF(OR(M139="f",M139="g",M139="h",N139="f",N139="g",N139="h"),VLOOKUP("d",'Características dos Cabos'!$D$25:$L$29,3),IF(OR(M139="i",M139="j",M139="l",M139="m",N139="i",N139="j",N139="l",N139="m"),VLOOKUP("e",'Características dos Cabos'!$D$25:$L$29,3),"")))))</f>
        <v/>
      </c>
      <c r="V139" s="270" t="str">
        <f t="shared" si="35"/>
        <v/>
      </c>
      <c r="W139" s="243"/>
      <c r="X139" s="257">
        <f t="shared" si="36"/>
        <v>0</v>
      </c>
      <c r="Y139" s="257">
        <f t="shared" si="37"/>
        <v>0</v>
      </c>
      <c r="Z139" s="243"/>
    </row>
    <row r="140" spans="1:26" ht="15" customHeight="1">
      <c r="A140" s="639"/>
      <c r="B140" s="642"/>
      <c r="C140" s="27"/>
      <c r="D140" s="23"/>
      <c r="E140" s="38"/>
      <c r="F140" s="92" t="str">
        <f t="shared" si="16"/>
        <v/>
      </c>
      <c r="G140" s="38"/>
      <c r="H140" s="265" t="str">
        <f>IF(AND(E140="",G140=""),"",SUM(F140:G144))</f>
        <v/>
      </c>
      <c r="J140" s="23"/>
      <c r="K140" s="23"/>
      <c r="L140" s="266" t="str">
        <f>IF(OR(J140="",K140=""),"",IF(J140="3",VLOOKUP(M140,'K% (Rede Convencional)'!$B$18:$M$29,8),(IF(J140="2",VLOOKUP(N140,'K% (Rede Convencional)'!$B$18:$M$29,9),(IF(J140="1",VLOOKUP(N140,'K% (Rede Convencional)'!$B$18:$M$29,10),(IF(J140="13",VLOOKUP(N140,'K% (Rede Convencional)'!$B$18:$M$29,11),(IF(J140="12",VLOOKUP(N140,'K% (Rede Convencional)'!$B$18:$M$29,12),0))))))))))</f>
        <v/>
      </c>
      <c r="M140" s="267" t="str">
        <f t="shared" si="31"/>
        <v/>
      </c>
      <c r="N140" s="267" t="str">
        <f>IF(K140="","",IF(K140="4 (4)","a",IF(OR(K140="2 (4)",K140="2 (2)"),VLOOKUP(K140,BT!$AE$21:$AF$22,2,FALSE),IF(OR(K140="1/0 (4)",K140="1/0 (2)"),VLOOKUP(K140,BT!$AE$24:$AF$25,2,FALSE),IF(OR(K140="4/0 (4)",K140="4/0 (2)",K140="4/0 (1/0)"),VLOOKUP(K140,BT!$AE$27:$AF$29,2,FALSE),IF(OR(K140="336,4 (4)",K140="336,4 (2)",K140="336,4 (1/0)",K140="336,4 (4/0)"),VLOOKUP(K140,BT!$AE$31:$AF$34,2,FALSE),0))))))</f>
        <v/>
      </c>
      <c r="O140" s="38"/>
      <c r="P140" s="268" t="str">
        <f t="shared" si="32"/>
        <v/>
      </c>
      <c r="Q140" s="268" t="str">
        <f>IF(P140="","",SUM($P$45:P140)+$W$115)</f>
        <v/>
      </c>
      <c r="R140" s="268" t="str">
        <f t="shared" si="33"/>
        <v/>
      </c>
      <c r="S140" s="269" t="str">
        <f>IF(OR(M140="a",N140="a"),VLOOKUP("a",'Características dos Cabos'!$D$25:$L$29,9),IF(OR(M140="b",M140="c",N140="b",N140="c"),VLOOKUP("b",'Características dos Cabos'!$D$25:$L$29,9),IF(OR(M140="d",M140="e",N140="d",N140="e"),VLOOKUP("c",'Características dos Cabos'!$D$25:$L$29,9),IF(OR(M140="f",M140="g",M140="h",N140="f",N140="g",N140="h"),VLOOKUP("d",'Características dos Cabos'!$D$25:$L$29,9),IF(OR(M140="i",M140="j",M140="l",M140="m",N140="i",N140="j",N140="l",N140="m"),VLOOKUP("e",'Características dos Cabos'!$D$25:$L$29,9),"")))))</f>
        <v/>
      </c>
      <c r="T140" s="268" t="str">
        <f t="shared" si="34"/>
        <v/>
      </c>
      <c r="U140" s="269" t="str">
        <f>IF(OR(M140="a",N140="a"),VLOOKUP("a",'Características dos Cabos'!$D$25:$L$29,3),IF(OR(M140="b",M140="c",N140="b",N140="c"),VLOOKUP("b",'Características dos Cabos'!$D$25:$L$29,3),IF(OR(M140="d",M140="e",N140="d",N140="e"),VLOOKUP("c",'Características dos Cabos'!$D$25:$L$29,3),IF(OR(M140="f",M140="g",M140="h",N140="f",N140="g",N140="h"),VLOOKUP("d",'Características dos Cabos'!$D$25:$L$29,3),IF(OR(M140="i",M140="j",M140="l",M140="m",N140="i",N140="j",N140="l",N140="m"),VLOOKUP("e",'Características dos Cabos'!$D$25:$L$29,3),"")))))</f>
        <v/>
      </c>
      <c r="V140" s="270" t="str">
        <f t="shared" si="35"/>
        <v/>
      </c>
      <c r="W140" s="243"/>
      <c r="X140" s="257">
        <f t="shared" si="36"/>
        <v>0</v>
      </c>
      <c r="Y140" s="257">
        <f t="shared" si="37"/>
        <v>0</v>
      </c>
      <c r="Z140" s="243"/>
    </row>
    <row r="141" spans="1:26" ht="15" customHeight="1">
      <c r="A141" s="639"/>
      <c r="B141" s="642"/>
      <c r="C141" s="27"/>
      <c r="D141" s="23"/>
      <c r="E141" s="38"/>
      <c r="F141" s="92" t="str">
        <f t="shared" si="16"/>
        <v/>
      </c>
      <c r="G141" s="38"/>
      <c r="H141" s="265" t="str">
        <f>IF(AND(E141="",G141=""),"",SUM(F141:G144))</f>
        <v/>
      </c>
      <c r="J141" s="23"/>
      <c r="K141" s="23"/>
      <c r="L141" s="266" t="str">
        <f>IF(OR(J141="",K141=""),"",IF(J141="3",VLOOKUP(M141,'K% (Rede Convencional)'!$B$18:$M$29,8),(IF(J141="2",VLOOKUP(N141,'K% (Rede Convencional)'!$B$18:$M$29,9),(IF(J141="1",VLOOKUP(N141,'K% (Rede Convencional)'!$B$18:$M$29,10),(IF(J141="13",VLOOKUP(N141,'K% (Rede Convencional)'!$B$18:$M$29,11),(IF(J141="12",VLOOKUP(N141,'K% (Rede Convencional)'!$B$18:$M$29,12),0))))))))))</f>
        <v/>
      </c>
      <c r="M141" s="267" t="str">
        <f t="shared" si="31"/>
        <v/>
      </c>
      <c r="N141" s="267" t="str">
        <f>IF(K141="","",IF(K141="4 (4)","a",IF(OR(K141="2 (4)",K141="2 (2)"),VLOOKUP(K141,BT!$AE$21:$AF$22,2,FALSE),IF(OR(K141="1/0 (4)",K141="1/0 (2)"),VLOOKUP(K141,BT!$AE$24:$AF$25,2,FALSE),IF(OR(K141="4/0 (4)",K141="4/0 (2)",K141="4/0 (1/0)"),VLOOKUP(K141,BT!$AE$27:$AF$29,2,FALSE),IF(OR(K141="336,4 (4)",K141="336,4 (2)",K141="336,4 (1/0)",K141="336,4 (4/0)"),VLOOKUP(K141,BT!$AE$31:$AF$34,2,FALSE),0))))))</f>
        <v/>
      </c>
      <c r="O141" s="38"/>
      <c r="P141" s="268" t="str">
        <f t="shared" si="32"/>
        <v/>
      </c>
      <c r="Q141" s="268" t="str">
        <f>IF(P141="","",SUM($P$45:P141)+$W$115)</f>
        <v/>
      </c>
      <c r="R141" s="268" t="str">
        <f t="shared" si="33"/>
        <v/>
      </c>
      <c r="S141" s="269" t="str">
        <f>IF(OR(M141="a",N141="a"),VLOOKUP("a",'Características dos Cabos'!$D$25:$L$29,9),IF(OR(M141="b",M141="c",N141="b",N141="c"),VLOOKUP("b",'Características dos Cabos'!$D$25:$L$29,9),IF(OR(M141="d",M141="e",N141="d",N141="e"),VLOOKUP("c",'Características dos Cabos'!$D$25:$L$29,9),IF(OR(M141="f",M141="g",M141="h",N141="f",N141="g",N141="h"),VLOOKUP("d",'Características dos Cabos'!$D$25:$L$29,9),IF(OR(M141="i",M141="j",M141="l",M141="m",N141="i",N141="j",N141="l",N141="m"),VLOOKUP("e",'Características dos Cabos'!$D$25:$L$29,9),"")))))</f>
        <v/>
      </c>
      <c r="T141" s="268" t="str">
        <f t="shared" si="34"/>
        <v/>
      </c>
      <c r="U141" s="269" t="str">
        <f>IF(OR(M141="a",N141="a"),VLOOKUP("a",'Características dos Cabos'!$D$25:$L$29,3),IF(OR(M141="b",M141="c",N141="b",N141="c"),VLOOKUP("b",'Características dos Cabos'!$D$25:$L$29,3),IF(OR(M141="d",M141="e",N141="d",N141="e"),VLOOKUP("c",'Características dos Cabos'!$D$25:$L$29,3),IF(OR(M141="f",M141="g",M141="h",N141="f",N141="g",N141="h"),VLOOKUP("d",'Características dos Cabos'!$D$25:$L$29,3),IF(OR(M141="i",M141="j",M141="l",M141="m",N141="i",N141="j",N141="l",N141="m"),VLOOKUP("e",'Características dos Cabos'!$D$25:$L$29,3),"")))))</f>
        <v/>
      </c>
      <c r="V141" s="270" t="str">
        <f t="shared" si="35"/>
        <v/>
      </c>
      <c r="W141" s="243"/>
      <c r="X141" s="257">
        <f t="shared" si="36"/>
        <v>0</v>
      </c>
      <c r="Y141" s="257">
        <f t="shared" si="37"/>
        <v>0</v>
      </c>
      <c r="Z141" s="243"/>
    </row>
    <row r="142" spans="1:26" ht="15" customHeight="1">
      <c r="A142" s="639"/>
      <c r="B142" s="642"/>
      <c r="C142" s="27"/>
      <c r="D142" s="23"/>
      <c r="E142" s="38"/>
      <c r="F142" s="92" t="str">
        <f t="shared" si="16"/>
        <v/>
      </c>
      <c r="G142" s="38"/>
      <c r="H142" s="265" t="str">
        <f>IF(AND(E142="",G142=""),"",SUM(F142:G144))</f>
        <v/>
      </c>
      <c r="J142" s="23"/>
      <c r="K142" s="23"/>
      <c r="L142" s="266" t="str">
        <f>IF(OR(J142="",K142=""),"",IF(J142="3",VLOOKUP(M142,'K% (Rede Convencional)'!$B$18:$M$29,8),(IF(J142="2",VLOOKUP(N142,'K% (Rede Convencional)'!$B$18:$M$29,9),(IF(J142="1",VLOOKUP(N142,'K% (Rede Convencional)'!$B$18:$M$29,10),(IF(J142="13",VLOOKUP(N142,'K% (Rede Convencional)'!$B$18:$M$29,11),(IF(J142="12",VLOOKUP(N142,'K% (Rede Convencional)'!$B$18:$M$29,12),0))))))))))</f>
        <v/>
      </c>
      <c r="M142" s="267" t="str">
        <f t="shared" si="31"/>
        <v/>
      </c>
      <c r="N142" s="267" t="str">
        <f>IF(K142="","",IF(K142="4 (4)","a",IF(OR(K142="2 (4)",K142="2 (2)"),VLOOKUP(K142,BT!$AE$21:$AF$22,2,FALSE),IF(OR(K142="1/0 (4)",K142="1/0 (2)"),VLOOKUP(K142,BT!$AE$24:$AF$25,2,FALSE),IF(OR(K142="4/0 (4)",K142="4/0 (2)",K142="4/0 (1/0)"),VLOOKUP(K142,BT!$AE$27:$AF$29,2,FALSE),IF(OR(K142="336,4 (4)",K142="336,4 (2)",K142="336,4 (1/0)",K142="336,4 (4/0)"),VLOOKUP(K142,BT!$AE$31:$AF$34,2,FALSE),0))))))</f>
        <v/>
      </c>
      <c r="O142" s="38"/>
      <c r="P142" s="268" t="str">
        <f t="shared" si="32"/>
        <v/>
      </c>
      <c r="Q142" s="268" t="str">
        <f>IF(P142="","",SUM($P$45:P142)+$W$115)</f>
        <v/>
      </c>
      <c r="R142" s="268" t="str">
        <f t="shared" si="33"/>
        <v/>
      </c>
      <c r="S142" s="269" t="str">
        <f>IF(OR(M142="a",N142="a"),VLOOKUP("a",'Características dos Cabos'!$D$25:$L$29,9),IF(OR(M142="b",M142="c",N142="b",N142="c"),VLOOKUP("b",'Características dos Cabos'!$D$25:$L$29,9),IF(OR(M142="d",M142="e",N142="d",N142="e"),VLOOKUP("c",'Características dos Cabos'!$D$25:$L$29,9),IF(OR(M142="f",M142="g",M142="h",N142="f",N142="g",N142="h"),VLOOKUP("d",'Características dos Cabos'!$D$25:$L$29,9),IF(OR(M142="i",M142="j",M142="l",M142="m",N142="i",N142="j",N142="l",N142="m"),VLOOKUP("e",'Características dos Cabos'!$D$25:$L$29,9),"")))))</f>
        <v/>
      </c>
      <c r="T142" s="268" t="str">
        <f t="shared" si="34"/>
        <v/>
      </c>
      <c r="U142" s="269" t="str">
        <f>IF(OR(M142="a",N142="a"),VLOOKUP("a",'Características dos Cabos'!$D$25:$L$29,3),IF(OR(M142="b",M142="c",N142="b",N142="c"),VLOOKUP("b",'Características dos Cabos'!$D$25:$L$29,3),IF(OR(M142="d",M142="e",N142="d",N142="e"),VLOOKUP("c",'Características dos Cabos'!$D$25:$L$29,3),IF(OR(M142="f",M142="g",M142="h",N142="f",N142="g",N142="h"),VLOOKUP("d",'Características dos Cabos'!$D$25:$L$29,3),IF(OR(M142="i",M142="j",M142="l",M142="m",N142="i",N142="j",N142="l",N142="m"),VLOOKUP("e",'Características dos Cabos'!$D$25:$L$29,3),"")))))</f>
        <v/>
      </c>
      <c r="V142" s="270" t="str">
        <f t="shared" si="35"/>
        <v/>
      </c>
      <c r="W142" s="243"/>
      <c r="X142" s="257">
        <f t="shared" si="36"/>
        <v>0</v>
      </c>
      <c r="Y142" s="257">
        <f t="shared" si="37"/>
        <v>0</v>
      </c>
      <c r="Z142" s="243"/>
    </row>
    <row r="143" spans="1:26" ht="15" customHeight="1">
      <c r="A143" s="639"/>
      <c r="B143" s="642"/>
      <c r="C143" s="27"/>
      <c r="D143" s="23"/>
      <c r="E143" s="38"/>
      <c r="F143" s="92" t="str">
        <f t="shared" si="16"/>
        <v/>
      </c>
      <c r="G143" s="38"/>
      <c r="H143" s="265" t="str">
        <f>IF(AND(E143="",G143=""),"",SUM(F143:G144))</f>
        <v/>
      </c>
      <c r="J143" s="23"/>
      <c r="K143" s="23"/>
      <c r="L143" s="266" t="str">
        <f>IF(OR(J143="",K143=""),"",IF(J143="3",VLOOKUP(M143,'K% (Rede Convencional)'!$B$18:$M$29,8),(IF(J143="2",VLOOKUP(N143,'K% (Rede Convencional)'!$B$18:$M$29,9),(IF(J143="1",VLOOKUP(N143,'K% (Rede Convencional)'!$B$18:$M$29,10),(IF(J143="13",VLOOKUP(N143,'K% (Rede Convencional)'!$B$18:$M$29,11),(IF(J143="12",VLOOKUP(N143,'K% (Rede Convencional)'!$B$18:$M$29,12),0))))))))))</f>
        <v/>
      </c>
      <c r="M143" s="267" t="str">
        <f t="shared" si="31"/>
        <v/>
      </c>
      <c r="N143" s="267" t="str">
        <f>IF(K143="","",IF(K143="4 (4)","a",IF(OR(K143="2 (4)",K143="2 (2)"),VLOOKUP(K143,BT!$AE$21:$AF$22,2,FALSE),IF(OR(K143="1/0 (4)",K143="1/0 (2)"),VLOOKUP(K143,BT!$AE$24:$AF$25,2,FALSE),IF(OR(K143="4/0 (4)",K143="4/0 (2)",K143="4/0 (1/0)"),VLOOKUP(K143,BT!$AE$27:$AF$29,2,FALSE),IF(OR(K143="336,4 (4)",K143="336,4 (2)",K143="336,4 (1/0)",K143="336,4 (4/0)"),VLOOKUP(K143,BT!$AE$31:$AF$34,2,FALSE),0))))))</f>
        <v/>
      </c>
      <c r="O143" s="38"/>
      <c r="P143" s="268" t="str">
        <f t="shared" si="32"/>
        <v/>
      </c>
      <c r="Q143" s="268" t="str">
        <f>IF(P143="","",SUM($P$45:P143)+$W$115)</f>
        <v/>
      </c>
      <c r="R143" s="268" t="str">
        <f t="shared" si="33"/>
        <v/>
      </c>
      <c r="S143" s="269" t="str">
        <f>IF(OR(M143="a",N143="a"),VLOOKUP("a",'Características dos Cabos'!$D$25:$L$29,9),IF(OR(M143="b",M143="c",N143="b",N143="c"),VLOOKUP("b",'Características dos Cabos'!$D$25:$L$29,9),IF(OR(M143="d",M143="e",N143="d",N143="e"),VLOOKUP("c",'Características dos Cabos'!$D$25:$L$29,9),IF(OR(M143="f",M143="g",M143="h",N143="f",N143="g",N143="h"),VLOOKUP("d",'Características dos Cabos'!$D$25:$L$29,9),IF(OR(M143="i",M143="j",M143="l",M143="m",N143="i",N143="j",N143="l",N143="m"),VLOOKUP("e",'Características dos Cabos'!$D$25:$L$29,9),"")))))</f>
        <v/>
      </c>
      <c r="T143" s="268" t="str">
        <f t="shared" si="34"/>
        <v/>
      </c>
      <c r="U143" s="269" t="str">
        <f>IF(OR(M143="a",N143="a"),VLOOKUP("a",'Características dos Cabos'!$D$25:$L$29,3),IF(OR(M143="b",M143="c",N143="b",N143="c"),VLOOKUP("b",'Características dos Cabos'!$D$25:$L$29,3),IF(OR(M143="d",M143="e",N143="d",N143="e"),VLOOKUP("c",'Características dos Cabos'!$D$25:$L$29,3),IF(OR(M143="f",M143="g",M143="h",N143="f",N143="g",N143="h"),VLOOKUP("d",'Características dos Cabos'!$D$25:$L$29,3),IF(OR(M143="i",M143="j",M143="l",M143="m",N143="i",N143="j",N143="l",N143="m"),VLOOKUP("e",'Características dos Cabos'!$D$25:$L$29,3),"")))))</f>
        <v/>
      </c>
      <c r="V143" s="270" t="str">
        <f t="shared" si="35"/>
        <v/>
      </c>
      <c r="W143" s="243"/>
      <c r="X143" s="257">
        <f t="shared" si="36"/>
        <v>0</v>
      </c>
      <c r="Y143" s="257">
        <f t="shared" si="37"/>
        <v>0</v>
      </c>
      <c r="Z143" s="243"/>
    </row>
    <row r="144" spans="1:26" ht="15" customHeight="1" thickBot="1">
      <c r="A144" s="639"/>
      <c r="B144" s="643"/>
      <c r="C144" s="28"/>
      <c r="D144" s="24"/>
      <c r="E144" s="39"/>
      <c r="F144" s="54" t="str">
        <f t="shared" si="16"/>
        <v/>
      </c>
      <c r="G144" s="39"/>
      <c r="H144" s="286" t="str">
        <f>IF(AND(E144="",G144=""),"",SUM(F144:G144))</f>
        <v/>
      </c>
      <c r="J144" s="24"/>
      <c r="K144" s="24"/>
      <c r="L144" s="287" t="str">
        <f>IF(OR(J144="",K144=""),"",IF(J144="3",VLOOKUP(M144,'K% (Rede Convencional)'!$B$18:$M$29,8),(IF(J144="2",VLOOKUP(N144,'K% (Rede Convencional)'!$B$18:$M$29,9),(IF(J144="1",VLOOKUP(N144,'K% (Rede Convencional)'!$B$18:$M$29,10),(IF(J144="13",VLOOKUP(N144,'K% (Rede Convencional)'!$B$18:$M$29,11),(IF(J144="12",VLOOKUP(N144,'K% (Rede Convencional)'!$B$18:$M$29,12),0))))))))))</f>
        <v/>
      </c>
      <c r="M144" s="288" t="str">
        <f t="shared" si="31"/>
        <v/>
      </c>
      <c r="N144" s="288" t="str">
        <f>IF(K144="","",IF(K144="4 (4)","a",IF(OR(K144="2 (4)",K144="2 (2)"),VLOOKUP(K144,BT!$AE$21:$AF$22,2,FALSE),IF(OR(K144="1/0 (4)",K144="1/0 (2)"),VLOOKUP(K144,BT!$AE$24:$AF$25,2,FALSE),IF(OR(K144="4/0 (4)",K144="4/0 (2)",K144="4/0 (1/0)"),VLOOKUP(K144,BT!$AE$27:$AF$29,2,FALSE),IF(OR(K144="336,4 (4)",K144="336,4 (2)",K144="336,4 (1/0)",K144="336,4 (4/0)"),VLOOKUP(K144,BT!$AE$31:$AF$34,2,FALSE),0))))))</f>
        <v/>
      </c>
      <c r="O144" s="39"/>
      <c r="P144" s="289" t="str">
        <f t="shared" si="32"/>
        <v/>
      </c>
      <c r="Q144" s="289" t="str">
        <f>IF(P144="","",SUM($P$45:P144)+$W$115)</f>
        <v/>
      </c>
      <c r="R144" s="289" t="str">
        <f t="shared" si="33"/>
        <v/>
      </c>
      <c r="S144" s="290" t="str">
        <f>IF(N144="a",VLOOKUP("a",#REF!,9),IF(OR(N144="b",N144="c"),VLOOKUP("b",#REF!,9),IF(OR(N144="d",N144="e"),VLOOKUP("c",#REF!,9),IF(OR(N144="f",N144="g",N144="h"),VLOOKUP("d",#REF!,9),IF(OR(N144="i",N144="j",N144="l",N144="m"),VLOOKUP("e",#REF!,9),"")))))</f>
        <v/>
      </c>
      <c r="T144" s="289" t="str">
        <f t="shared" si="34"/>
        <v/>
      </c>
      <c r="U144" s="290" t="str">
        <f>IF(OR(M144="a",N144="a"),VLOOKUP("a",'Características dos Cabos'!$D$25:$L$29,3),IF(OR(M144="b",M144="c",N144="b",N144="c"),VLOOKUP("b",'Características dos Cabos'!$D$25:$L$29,3),IF(OR(M144="d",M144="e",N144="d",N144="e"),VLOOKUP("c",'Características dos Cabos'!$D$25:$L$29,3),IF(OR(M144="f",M144="g",M144="h",N144="f",N144="g",N144="h"),VLOOKUP("d",'Características dos Cabos'!$D$25:$L$29,3),IF(OR(M144="i",M144="j",M144="l",M144="m",N144="i",N144="j",N144="l",N144="m"),VLOOKUP("e",'Características dos Cabos'!$D$25:$L$29,3),"")))))</f>
        <v/>
      </c>
      <c r="V144" s="291" t="str">
        <f t="shared" si="35"/>
        <v/>
      </c>
      <c r="W144" s="243"/>
      <c r="X144" s="257">
        <f t="shared" si="36"/>
        <v>0</v>
      </c>
      <c r="Y144" s="257">
        <f t="shared" si="37"/>
        <v>0</v>
      </c>
      <c r="Z144" s="243"/>
    </row>
    <row r="145" spans="1:26" ht="15" customHeight="1" thickTop="1">
      <c r="A145" s="639"/>
      <c r="B145" s="641" t="str">
        <f>CONCATENATE("Ramal 11 - Derivando no ponto ",C145)</f>
        <v xml:space="preserve">Ramal 11 - Derivando no ponto </v>
      </c>
      <c r="C145" s="26"/>
      <c r="D145" s="25"/>
      <c r="E145" s="37"/>
      <c r="F145" s="92" t="str">
        <f t="shared" si="16"/>
        <v/>
      </c>
      <c r="G145" s="37"/>
      <c r="H145" s="278" t="str">
        <f>IF(AND(E145="",G145=""),"",SUM(F145:G154))</f>
        <v/>
      </c>
      <c r="J145" s="25"/>
      <c r="K145" s="25"/>
      <c r="L145" s="279" t="str">
        <f>IF(OR(J145="",K145=""),"",IF(J145="3",VLOOKUP(M145,'K% (Rede Convencional)'!$B$18:$M$29,8),(IF(J145="2",VLOOKUP(N145,'K% (Rede Convencional)'!$B$18:$M$29,9),(IF(J145="1",VLOOKUP(N145,'K% (Rede Convencional)'!$B$18:$M$29,10),(IF(J145="13",VLOOKUP(N145,'K% (Rede Convencional)'!$B$18:$M$29,11),(IF(J145="12",VLOOKUP(N145,'K% (Rede Convencional)'!$B$18:$M$29,12),0))))))))))</f>
        <v/>
      </c>
      <c r="M145" s="253" t="str">
        <f t="shared" si="38" ref="M145:M154">IF(K145="4","a",IF(K145="2","b",IF(K145="1/0","d",IF(K145="4/0","f",IF(K145="336,4","i","")))))</f>
        <v/>
      </c>
      <c r="N145" s="253" t="str">
        <f>IF(K145="","",IF(K145="4 (4)","a",IF(OR(K145="2 (4)",K145="2 (2)"),VLOOKUP(K145,BT!$AE$21:$AF$22,2,FALSE),IF(OR(K145="1/0 (4)",K145="1/0 (2)"),VLOOKUP(K145,BT!$AE$24:$AF$25,2,FALSE),IF(OR(K145="4/0 (4)",K145="4/0 (2)",K145="4/0 (1/0)"),VLOOKUP(K145,BT!$AE$27:$AF$29,2,FALSE),IF(OR(K145="336,4 (4)",K145="336,4 (2)",K145="336,4 (1/0)",K145="336,4 (4/0)"),VLOOKUP(K145,BT!$AE$31:$AF$34,2,FALSE),0))))))</f>
        <v/>
      </c>
      <c r="O145" s="37"/>
      <c r="P145" s="280" t="str">
        <f t="shared" si="39" ref="P145:P154">IF(OR(H145="",L145="",O145=""),"",L145*H145*O145)</f>
        <v/>
      </c>
      <c r="Q145" s="280" t="str">
        <f>IF(P145="","",P145+VLOOKUP(C145,$D$21:$Q$43,13,FALSE))</f>
        <v/>
      </c>
      <c r="R145" s="280" t="str">
        <f t="shared" si="40" ref="R145:R154">IF(H145="","",IF(J145="3",H145*1000/($D$14*SQRT(3)),IF(J145="2",H145*1000*SQRT(3)/($D$14*2),IF(J145="1",H145*1000*SQRT(3)/$D$14,IF(J145="13",H145*1000/$D$16,IF(J145="12",H145*1000*2/$D$16,"erro"))))))</f>
        <v/>
      </c>
      <c r="S145" s="281" t="str">
        <f>IF(OR(M145="a",N145="a"),VLOOKUP("a",'Características dos Cabos'!$D$25:$L$29,9),IF(OR(M145="b",M145="c",N145="b",N145="c"),VLOOKUP("b",'Características dos Cabos'!$D$25:$L$29,9),IF(OR(M145="d",M145="e",N145="d",N145="e"),VLOOKUP("c",'Características dos Cabos'!$D$25:$L$29,9),IF(OR(M145="f",M145="g",M145="h",N145="f",N145="g",N145="h"),VLOOKUP("d",'Características dos Cabos'!$D$25:$L$29,9),IF(OR(M145="i",M145="j",M145="l",M145="m",N145="i",N145="j",N145="l",N145="m"),VLOOKUP("e",'Características dos Cabos'!$D$25:$L$29,9),"")))))</f>
        <v/>
      </c>
      <c r="T145" s="280" t="str">
        <f t="shared" si="41" ref="T145:T154">IF(S145="","",R145*100/S145)</f>
        <v/>
      </c>
      <c r="U145" s="281" t="str">
        <f>IF(OR(M145="a",N145="a"),VLOOKUP("a",'Características dos Cabos'!$D$25:$L$29,3),IF(OR(M145="b",M145="c",N145="b",N145="c"),VLOOKUP("b",'Características dos Cabos'!$D$25:$L$29,3),IF(OR(M145="d",M145="e",N145="d",N145="e"),VLOOKUP("c",'Características dos Cabos'!$D$25:$L$29,3),IF(OR(M145="f",M145="g",M145="h",N145="f",N145="g",N145="h"),VLOOKUP("d",'Características dos Cabos'!$D$25:$L$29,3),IF(OR(M145="i",M145="j",M145="l",M145="m",N145="i",N145="j",N145="l",N145="m"),VLOOKUP("e",'Características dos Cabos'!$D$25:$L$29,3),"")))))</f>
        <v/>
      </c>
      <c r="V145" s="282" t="str">
        <f t="shared" si="42" ref="V145:V154">IF(OR(O145="",$G$16="",H145="",N145=""),"",IF(J145="3",3*$L$12*U145*O145/1000*R145^2*8.76,IF(OR(J145="2",J145="13"),2*$L$12*U145*O145/1000*R145^2*8.76,IF(OR(J145="1",J145="12"),$L$12*U145*O145/1000*R145^2*8.76))))</f>
        <v/>
      </c>
      <c r="W145" s="445" t="e">
        <f>VLOOKUP(C145,$D$21:$Q$43,12,FALSE)</f>
        <v>#N/A</v>
      </c>
      <c r="X145" s="257">
        <f t="shared" si="43" ref="X145:X154">D145</f>
        <v>0</v>
      </c>
      <c r="Y145" s="257">
        <f t="shared" si="44" ref="Y145:Y154">K145</f>
        <v>0</v>
      </c>
      <c r="Z145" s="243"/>
    </row>
    <row r="146" spans="1:26" ht="15" customHeight="1">
      <c r="A146" s="639"/>
      <c r="B146" s="642"/>
      <c r="C146" s="27"/>
      <c r="D146" s="23"/>
      <c r="E146" s="38"/>
      <c r="F146" s="92" t="str">
        <f t="shared" si="16"/>
        <v/>
      </c>
      <c r="G146" s="38"/>
      <c r="H146" s="265" t="str">
        <f>IF(AND(E146="",G146=""),"",SUM(F146:G154))</f>
        <v/>
      </c>
      <c r="J146" s="23"/>
      <c r="K146" s="23"/>
      <c r="L146" s="266" t="str">
        <f>IF(OR(J146="",K146=""),"",IF(J146="3",VLOOKUP(M146,'K% (Rede Convencional)'!$B$18:$M$29,8),(IF(J146="2",VLOOKUP(N146,'K% (Rede Convencional)'!$B$18:$M$29,9),(IF(J146="1",VLOOKUP(N146,'K% (Rede Convencional)'!$B$18:$M$29,10),(IF(J146="13",VLOOKUP(N146,'K% (Rede Convencional)'!$B$18:$M$29,11),(IF(J146="12",VLOOKUP(N146,'K% (Rede Convencional)'!$B$18:$M$29,12),0))))))))))</f>
        <v/>
      </c>
      <c r="M146" s="267" t="str">
        <f t="shared" si="38"/>
        <v/>
      </c>
      <c r="N146" s="267" t="str">
        <f>IF(K146="","",IF(K146="4 (4)","a",IF(OR(K146="2 (4)",K146="2 (2)"),VLOOKUP(K146,BT!$AE$21:$AF$22,2,FALSE),IF(OR(K146="1/0 (4)",K146="1/0 (2)"),VLOOKUP(K146,BT!$AE$24:$AF$25,2,FALSE),IF(OR(K146="4/0 (4)",K146="4/0 (2)",K146="4/0 (1/0)"),VLOOKUP(K146,BT!$AE$27:$AF$29,2,FALSE),IF(OR(K146="336,4 (4)",K146="336,4 (2)",K146="336,4 (1/0)",K146="336,4 (4/0)"),VLOOKUP(K146,BT!$AE$31:$AF$34,2,FALSE),0))))))</f>
        <v/>
      </c>
      <c r="O146" s="38"/>
      <c r="P146" s="268" t="str">
        <f t="shared" si="39"/>
        <v/>
      </c>
      <c r="Q146" s="268" t="str">
        <f>IF(P146="","",SUM($P$45:P146)+$W$115)</f>
        <v/>
      </c>
      <c r="R146" s="268" t="str">
        <f t="shared" si="40"/>
        <v/>
      </c>
      <c r="S146" s="269" t="str">
        <f>IF(OR(M146="a",N146="a"),VLOOKUP("a",'Características dos Cabos'!$D$25:$L$29,9),IF(OR(M146="b",M146="c",N146="b",N146="c"),VLOOKUP("b",'Características dos Cabos'!$D$25:$L$29,9),IF(OR(M146="d",M146="e",N146="d",N146="e"),VLOOKUP("c",'Características dos Cabos'!$D$25:$L$29,9),IF(OR(M146="f",M146="g",M146="h",N146="f",N146="g",N146="h"),VLOOKUP("d",'Características dos Cabos'!$D$25:$L$29,9),IF(OR(M146="i",M146="j",M146="l",M146="m",N146="i",N146="j",N146="l",N146="m"),VLOOKUP("e",'Características dos Cabos'!$D$25:$L$29,9),"")))))</f>
        <v/>
      </c>
      <c r="T146" s="268" t="str">
        <f t="shared" si="41"/>
        <v/>
      </c>
      <c r="U146" s="269" t="str">
        <f>IF(OR(M146="a",N146="a"),VLOOKUP("a",'Características dos Cabos'!$D$25:$L$29,3),IF(OR(M146="b",M146="c",N146="b",N146="c"),VLOOKUP("b",'Características dos Cabos'!$D$25:$L$29,3),IF(OR(M146="d",M146="e",N146="d",N146="e"),VLOOKUP("c",'Características dos Cabos'!$D$25:$L$29,3),IF(OR(M146="f",M146="g",M146="h",N146="f",N146="g",N146="h"),VLOOKUP("d",'Características dos Cabos'!$D$25:$L$29,3),IF(OR(M146="i",M146="j",M146="l",M146="m",N146="i",N146="j",N146="l",N146="m"),VLOOKUP("e",'Características dos Cabos'!$D$25:$L$29,3),"")))))</f>
        <v/>
      </c>
      <c r="V146" s="270" t="str">
        <f t="shared" si="42"/>
        <v/>
      </c>
      <c r="W146" s="243"/>
      <c r="X146" s="257">
        <f t="shared" si="43"/>
        <v>0</v>
      </c>
      <c r="Y146" s="257">
        <f t="shared" si="44"/>
        <v>0</v>
      </c>
      <c r="Z146" s="243"/>
    </row>
    <row r="147" spans="1:26" ht="15" customHeight="1">
      <c r="A147" s="639"/>
      <c r="B147" s="642"/>
      <c r="C147" s="27"/>
      <c r="D147" s="23"/>
      <c r="E147" s="38"/>
      <c r="F147" s="92" t="str">
        <f t="shared" si="16"/>
        <v/>
      </c>
      <c r="G147" s="38"/>
      <c r="H147" s="265" t="str">
        <f>IF(AND(E147="",G147=""),"",SUM(F147:G154))</f>
        <v/>
      </c>
      <c r="J147" s="23"/>
      <c r="K147" s="23"/>
      <c r="L147" s="266" t="str">
        <f>IF(OR(J147="",K147=""),"",IF(J147="3",VLOOKUP(M147,'K% (Rede Convencional)'!$B$18:$M$29,8),(IF(J147="2",VLOOKUP(N147,'K% (Rede Convencional)'!$B$18:$M$29,9),(IF(J147="1",VLOOKUP(N147,'K% (Rede Convencional)'!$B$18:$M$29,10),(IF(J147="13",VLOOKUP(N147,'K% (Rede Convencional)'!$B$18:$M$29,11),(IF(J147="12",VLOOKUP(N147,'K% (Rede Convencional)'!$B$18:$M$29,12),0))))))))))</f>
        <v/>
      </c>
      <c r="M147" s="267" t="str">
        <f t="shared" si="38"/>
        <v/>
      </c>
      <c r="N147" s="267" t="str">
        <f>IF(K147="","",IF(K147="4 (4)","a",IF(OR(K147="2 (4)",K147="2 (2)"),VLOOKUP(K147,BT!$AE$21:$AF$22,2,FALSE),IF(OR(K147="1/0 (4)",K147="1/0 (2)"),VLOOKUP(K147,BT!$AE$24:$AF$25,2,FALSE),IF(OR(K147="4/0 (4)",K147="4/0 (2)",K147="4/0 (1/0)"),VLOOKUP(K147,BT!$AE$27:$AF$29,2,FALSE),IF(OR(K147="336,4 (4)",K147="336,4 (2)",K147="336,4 (1/0)",K147="336,4 (4/0)"),VLOOKUP(K147,BT!$AE$31:$AF$34,2,FALSE),0))))))</f>
        <v/>
      </c>
      <c r="O147" s="38"/>
      <c r="P147" s="268" t="str">
        <f t="shared" si="39"/>
        <v/>
      </c>
      <c r="Q147" s="268" t="str">
        <f>IF(P147="","",SUM($P$45:P147)+$W$115)</f>
        <v/>
      </c>
      <c r="R147" s="268" t="str">
        <f t="shared" si="40"/>
        <v/>
      </c>
      <c r="S147" s="269" t="str">
        <f>IF(OR(M147="a",N147="a"),VLOOKUP("a",'Características dos Cabos'!$D$25:$L$29,9),IF(OR(M147="b",M147="c",N147="b",N147="c"),VLOOKUP("b",'Características dos Cabos'!$D$25:$L$29,9),IF(OR(M147="d",M147="e",N147="d",N147="e"),VLOOKUP("c",'Características dos Cabos'!$D$25:$L$29,9),IF(OR(M147="f",M147="g",M147="h",N147="f",N147="g",N147="h"),VLOOKUP("d",'Características dos Cabos'!$D$25:$L$29,9),IF(OR(M147="i",M147="j",M147="l",M147="m",N147="i",N147="j",N147="l",N147="m"),VLOOKUP("e",'Características dos Cabos'!$D$25:$L$29,9),"")))))</f>
        <v/>
      </c>
      <c r="T147" s="268" t="str">
        <f t="shared" si="41"/>
        <v/>
      </c>
      <c r="U147" s="269" t="str">
        <f>IF(OR(M147="a",N147="a"),VLOOKUP("a",'Características dos Cabos'!$D$25:$L$29,3),IF(OR(M147="b",M147="c",N147="b",N147="c"),VLOOKUP("b",'Características dos Cabos'!$D$25:$L$29,3),IF(OR(M147="d",M147="e",N147="d",N147="e"),VLOOKUP("c",'Características dos Cabos'!$D$25:$L$29,3),IF(OR(M147="f",M147="g",M147="h",N147="f",N147="g",N147="h"),VLOOKUP("d",'Características dos Cabos'!$D$25:$L$29,3),IF(OR(M147="i",M147="j",M147="l",M147="m",N147="i",N147="j",N147="l",N147="m"),VLOOKUP("e",'Características dos Cabos'!$D$25:$L$29,3),"")))))</f>
        <v/>
      </c>
      <c r="V147" s="270" t="str">
        <f t="shared" si="42"/>
        <v/>
      </c>
      <c r="W147" s="243"/>
      <c r="X147" s="257">
        <f t="shared" si="43"/>
        <v>0</v>
      </c>
      <c r="Y147" s="257">
        <f t="shared" si="44"/>
        <v>0</v>
      </c>
      <c r="Z147" s="243"/>
    </row>
    <row r="148" spans="1:26" ht="15" customHeight="1">
      <c r="A148" s="639"/>
      <c r="B148" s="642"/>
      <c r="C148" s="27"/>
      <c r="D148" s="23"/>
      <c r="E148" s="38"/>
      <c r="F148" s="92" t="str">
        <f t="shared" si="16"/>
        <v/>
      </c>
      <c r="G148" s="38"/>
      <c r="H148" s="265" t="str">
        <f>IF(AND(E148="",G148=""),"",SUM(F148:G154))</f>
        <v/>
      </c>
      <c r="J148" s="23"/>
      <c r="K148" s="23"/>
      <c r="L148" s="266" t="str">
        <f>IF(OR(J148="",K148=""),"",IF(J148="3",VLOOKUP(M148,'K% (Rede Convencional)'!$B$18:$M$29,8),(IF(J148="2",VLOOKUP(N148,'K% (Rede Convencional)'!$B$18:$M$29,9),(IF(J148="1",VLOOKUP(N148,'K% (Rede Convencional)'!$B$18:$M$29,10),(IF(J148="13",VLOOKUP(N148,'K% (Rede Convencional)'!$B$18:$M$29,11),(IF(J148="12",VLOOKUP(N148,'K% (Rede Convencional)'!$B$18:$M$29,12),0))))))))))</f>
        <v/>
      </c>
      <c r="M148" s="267" t="str">
        <f t="shared" si="38"/>
        <v/>
      </c>
      <c r="N148" s="267" t="str">
        <f>IF(K148="","",IF(K148="4 (4)","a",IF(OR(K148="2 (4)",K148="2 (2)"),VLOOKUP(K148,BT!$AE$21:$AF$22,2,FALSE),IF(OR(K148="1/0 (4)",K148="1/0 (2)"),VLOOKUP(K148,BT!$AE$24:$AF$25,2,FALSE),IF(OR(K148="4/0 (4)",K148="4/0 (2)",K148="4/0 (1/0)"),VLOOKUP(K148,BT!$AE$27:$AF$29,2,FALSE),IF(OR(K148="336,4 (4)",K148="336,4 (2)",K148="336,4 (1/0)",K148="336,4 (4/0)"),VLOOKUP(K148,BT!$AE$31:$AF$34,2,FALSE),0))))))</f>
        <v/>
      </c>
      <c r="O148" s="38"/>
      <c r="P148" s="268" t="str">
        <f t="shared" si="39"/>
        <v/>
      </c>
      <c r="Q148" s="268" t="str">
        <f>IF(P148="","",SUM($P$45:P148)+$W$115)</f>
        <v/>
      </c>
      <c r="R148" s="268" t="str">
        <f t="shared" si="40"/>
        <v/>
      </c>
      <c r="S148" s="269" t="str">
        <f>IF(OR(M148="a",N148="a"),VLOOKUP("a",'Características dos Cabos'!$D$25:$L$29,9),IF(OR(M148="b",M148="c",N148="b",N148="c"),VLOOKUP("b",'Características dos Cabos'!$D$25:$L$29,9),IF(OR(M148="d",M148="e",N148="d",N148="e"),VLOOKUP("c",'Características dos Cabos'!$D$25:$L$29,9),IF(OR(M148="f",M148="g",M148="h",N148="f",N148="g",N148="h"),VLOOKUP("d",'Características dos Cabos'!$D$25:$L$29,9),IF(OR(M148="i",M148="j",M148="l",M148="m",N148="i",N148="j",N148="l",N148="m"),VLOOKUP("e",'Características dos Cabos'!$D$25:$L$29,9),"")))))</f>
        <v/>
      </c>
      <c r="T148" s="268" t="str">
        <f t="shared" si="41"/>
        <v/>
      </c>
      <c r="U148" s="269" t="str">
        <f>IF(OR(M148="a",N148="a"),VLOOKUP("a",'Características dos Cabos'!$D$25:$L$29,3),IF(OR(M148="b",M148="c",N148="b",N148="c"),VLOOKUP("b",'Características dos Cabos'!$D$25:$L$29,3),IF(OR(M148="d",M148="e",N148="d",N148="e"),VLOOKUP("c",'Características dos Cabos'!$D$25:$L$29,3),IF(OR(M148="f",M148="g",M148="h",N148="f",N148="g",N148="h"),VLOOKUP("d",'Características dos Cabos'!$D$25:$L$29,3),IF(OR(M148="i",M148="j",M148="l",M148="m",N148="i",N148="j",N148="l",N148="m"),VLOOKUP("e",'Características dos Cabos'!$D$25:$L$29,3),"")))))</f>
        <v/>
      </c>
      <c r="V148" s="270" t="str">
        <f t="shared" si="42"/>
        <v/>
      </c>
      <c r="W148" s="243"/>
      <c r="X148" s="257">
        <f t="shared" si="43"/>
        <v>0</v>
      </c>
      <c r="Y148" s="257">
        <f t="shared" si="44"/>
        <v>0</v>
      </c>
      <c r="Z148" s="243"/>
    </row>
    <row r="149" spans="1:26" ht="15" customHeight="1">
      <c r="A149" s="639"/>
      <c r="B149" s="642"/>
      <c r="C149" s="27"/>
      <c r="D149" s="23"/>
      <c r="E149" s="38"/>
      <c r="F149" s="92" t="str">
        <f t="shared" si="16"/>
        <v/>
      </c>
      <c r="G149" s="38"/>
      <c r="H149" s="265" t="str">
        <f>IF(AND(E149="",G149=""),"",SUM(F149:G154))</f>
        <v/>
      </c>
      <c r="J149" s="23"/>
      <c r="K149" s="23"/>
      <c r="L149" s="266" t="str">
        <f>IF(OR(J149="",K149=""),"",IF(J149="3",VLOOKUP(M149,'K% (Rede Convencional)'!$B$18:$M$29,8),(IF(J149="2",VLOOKUP(N149,'K% (Rede Convencional)'!$B$18:$M$29,9),(IF(J149="1",VLOOKUP(N149,'K% (Rede Convencional)'!$B$18:$M$29,10),(IF(J149="13",VLOOKUP(N149,'K% (Rede Convencional)'!$B$18:$M$29,11),(IF(J149="12",VLOOKUP(N149,'K% (Rede Convencional)'!$B$18:$M$29,12),0))))))))))</f>
        <v/>
      </c>
      <c r="M149" s="267" t="str">
        <f t="shared" si="38"/>
        <v/>
      </c>
      <c r="N149" s="267" t="str">
        <f>IF(K149="","",IF(K149="4 (4)","a",IF(OR(K149="2 (4)",K149="2 (2)"),VLOOKUP(K149,BT!$AE$21:$AF$22,2,FALSE),IF(OR(K149="1/0 (4)",K149="1/0 (2)"),VLOOKUP(K149,BT!$AE$24:$AF$25,2,FALSE),IF(OR(K149="4/0 (4)",K149="4/0 (2)",K149="4/0 (1/0)"),VLOOKUP(K149,BT!$AE$27:$AF$29,2,FALSE),IF(OR(K149="336,4 (4)",K149="336,4 (2)",K149="336,4 (1/0)",K149="336,4 (4/0)"),VLOOKUP(K149,BT!$AE$31:$AF$34,2,FALSE),0))))))</f>
        <v/>
      </c>
      <c r="O149" s="38"/>
      <c r="P149" s="268" t="str">
        <f t="shared" si="39"/>
        <v/>
      </c>
      <c r="Q149" s="268" t="str">
        <f>IF(P149="","",SUM($P$45:P149)+$W$115)</f>
        <v/>
      </c>
      <c r="R149" s="268" t="str">
        <f t="shared" si="40"/>
        <v/>
      </c>
      <c r="S149" s="269" t="str">
        <f>IF(OR(M149="a",N149="a"),VLOOKUP("a",'Características dos Cabos'!$D$25:$L$29,9),IF(OR(M149="b",M149="c",N149="b",N149="c"),VLOOKUP("b",'Características dos Cabos'!$D$25:$L$29,9),IF(OR(M149="d",M149="e",N149="d",N149="e"),VLOOKUP("c",'Características dos Cabos'!$D$25:$L$29,9),IF(OR(M149="f",M149="g",M149="h",N149="f",N149="g",N149="h"),VLOOKUP("d",'Características dos Cabos'!$D$25:$L$29,9),IF(OR(M149="i",M149="j",M149="l",M149="m",N149="i",N149="j",N149="l",N149="m"),VLOOKUP("e",'Características dos Cabos'!$D$25:$L$29,9),"")))))</f>
        <v/>
      </c>
      <c r="T149" s="268" t="str">
        <f t="shared" si="41"/>
        <v/>
      </c>
      <c r="U149" s="269" t="str">
        <f>IF(OR(M149="a",N149="a"),VLOOKUP("a",'Características dos Cabos'!$D$25:$L$29,3),IF(OR(M149="b",M149="c",N149="b",N149="c"),VLOOKUP("b",'Características dos Cabos'!$D$25:$L$29,3),IF(OR(M149="d",M149="e",N149="d",N149="e"),VLOOKUP("c",'Características dos Cabos'!$D$25:$L$29,3),IF(OR(M149="f",M149="g",M149="h",N149="f",N149="g",N149="h"),VLOOKUP("d",'Características dos Cabos'!$D$25:$L$29,3),IF(OR(M149="i",M149="j",M149="l",M149="m",N149="i",N149="j",N149="l",N149="m"),VLOOKUP("e",'Características dos Cabos'!$D$25:$L$29,3),"")))))</f>
        <v/>
      </c>
      <c r="V149" s="270" t="str">
        <f t="shared" si="42"/>
        <v/>
      </c>
      <c r="W149" s="243"/>
      <c r="X149" s="257">
        <f t="shared" si="43"/>
        <v>0</v>
      </c>
      <c r="Y149" s="257">
        <f t="shared" si="44"/>
        <v>0</v>
      </c>
      <c r="Z149" s="243"/>
    </row>
    <row r="150" spans="1:26" ht="15" customHeight="1">
      <c r="A150" s="639"/>
      <c r="B150" s="642"/>
      <c r="C150" s="27"/>
      <c r="D150" s="23"/>
      <c r="E150" s="38"/>
      <c r="F150" s="92" t="str">
        <f t="shared" si="45" ref="F150:F194">IF(OR(E150="",$G$12=""),"",E150*$G$12*($J$12/100+1)^($J$16-1))</f>
        <v/>
      </c>
      <c r="G150" s="38"/>
      <c r="H150" s="265" t="str">
        <f>IF(AND(E150="",G150=""),"",SUM(F150:G154))</f>
        <v/>
      </c>
      <c r="J150" s="23"/>
      <c r="K150" s="23"/>
      <c r="L150" s="266" t="str">
        <f>IF(OR(J150="",K150=""),"",IF(J150="3",VLOOKUP(M150,'K% (Rede Convencional)'!$B$18:$M$29,8),(IF(J150="2",VLOOKUP(N150,'K% (Rede Convencional)'!$B$18:$M$29,9),(IF(J150="1",VLOOKUP(N150,'K% (Rede Convencional)'!$B$18:$M$29,10),(IF(J150="13",VLOOKUP(N150,'K% (Rede Convencional)'!$B$18:$M$29,11),(IF(J150="12",VLOOKUP(N150,'K% (Rede Convencional)'!$B$18:$M$29,12),0))))))))))</f>
        <v/>
      </c>
      <c r="M150" s="267" t="str">
        <f t="shared" si="38"/>
        <v/>
      </c>
      <c r="N150" s="267" t="str">
        <f>IF(K150="","",IF(K150="4 (4)","a",IF(OR(K150="2 (4)",K150="2 (2)"),VLOOKUP(K150,BT!$AE$21:$AF$22,2,FALSE),IF(OR(K150="1/0 (4)",K150="1/0 (2)"),VLOOKUP(K150,BT!$AE$24:$AF$25,2,FALSE),IF(OR(K150="4/0 (4)",K150="4/0 (2)",K150="4/0 (1/0)"),VLOOKUP(K150,BT!$AE$27:$AF$29,2,FALSE),IF(OR(K150="336,4 (4)",K150="336,4 (2)",K150="336,4 (1/0)",K150="336,4 (4/0)"),VLOOKUP(K150,BT!$AE$31:$AF$34,2,FALSE),0))))))</f>
        <v/>
      </c>
      <c r="O150" s="38"/>
      <c r="P150" s="268" t="str">
        <f t="shared" si="39"/>
        <v/>
      </c>
      <c r="Q150" s="268" t="str">
        <f>IF(P150="","",SUM($P$45:P150)+$W$115)</f>
        <v/>
      </c>
      <c r="R150" s="268" t="str">
        <f t="shared" si="40"/>
        <v/>
      </c>
      <c r="S150" s="269" t="str">
        <f>IF(OR(M150="a",N150="a"),VLOOKUP("a",'Características dos Cabos'!$D$25:$L$29,9),IF(OR(M150="b",M150="c",N150="b",N150="c"),VLOOKUP("b",'Características dos Cabos'!$D$25:$L$29,9),IF(OR(M150="d",M150="e",N150="d",N150="e"),VLOOKUP("c",'Características dos Cabos'!$D$25:$L$29,9),IF(OR(M150="f",M150="g",M150="h",N150="f",N150="g",N150="h"),VLOOKUP("d",'Características dos Cabos'!$D$25:$L$29,9),IF(OR(M150="i",M150="j",M150="l",M150="m",N150="i",N150="j",N150="l",N150="m"),VLOOKUP("e",'Características dos Cabos'!$D$25:$L$29,9),"")))))</f>
        <v/>
      </c>
      <c r="T150" s="268" t="str">
        <f t="shared" si="41"/>
        <v/>
      </c>
      <c r="U150" s="269" t="str">
        <f>IF(OR(M150="a",N150="a"),VLOOKUP("a",'Características dos Cabos'!$D$25:$L$29,3),IF(OR(M150="b",M150="c",N150="b",N150="c"),VLOOKUP("b",'Características dos Cabos'!$D$25:$L$29,3),IF(OR(M150="d",M150="e",N150="d",N150="e"),VLOOKUP("c",'Características dos Cabos'!$D$25:$L$29,3),IF(OR(M150="f",M150="g",M150="h",N150="f",N150="g",N150="h"),VLOOKUP("d",'Características dos Cabos'!$D$25:$L$29,3),IF(OR(M150="i",M150="j",M150="l",M150="m",N150="i",N150="j",N150="l",N150="m"),VLOOKUP("e",'Características dos Cabos'!$D$25:$L$29,3),"")))))</f>
        <v/>
      </c>
      <c r="V150" s="270" t="str">
        <f t="shared" si="42"/>
        <v/>
      </c>
      <c r="W150" s="243"/>
      <c r="X150" s="257">
        <f t="shared" si="43"/>
        <v>0</v>
      </c>
      <c r="Y150" s="257">
        <f t="shared" si="44"/>
        <v>0</v>
      </c>
      <c r="Z150" s="243"/>
    </row>
    <row r="151" spans="1:26" ht="15" customHeight="1">
      <c r="A151" s="639"/>
      <c r="B151" s="642"/>
      <c r="C151" s="27"/>
      <c r="D151" s="23"/>
      <c r="E151" s="38"/>
      <c r="F151" s="92" t="str">
        <f t="shared" si="45"/>
        <v/>
      </c>
      <c r="G151" s="38"/>
      <c r="H151" s="265" t="str">
        <f>IF(AND(E151="",G151=""),"",SUM(F151:G154))</f>
        <v/>
      </c>
      <c r="J151" s="23"/>
      <c r="K151" s="23"/>
      <c r="L151" s="266" t="str">
        <f>IF(OR(J151="",K151=""),"",IF(J151="3",VLOOKUP(M151,'K% (Rede Convencional)'!$B$18:$M$29,8),(IF(J151="2",VLOOKUP(N151,'K% (Rede Convencional)'!$B$18:$M$29,9),(IF(J151="1",VLOOKUP(N151,'K% (Rede Convencional)'!$B$18:$M$29,10),(IF(J151="13",VLOOKUP(N151,'K% (Rede Convencional)'!$B$18:$M$29,11),(IF(J151="12",VLOOKUP(N151,'K% (Rede Convencional)'!$B$18:$M$29,12),0))))))))))</f>
        <v/>
      </c>
      <c r="M151" s="267" t="str">
        <f t="shared" si="38"/>
        <v/>
      </c>
      <c r="N151" s="267" t="str">
        <f>IF(K151="","",IF(K151="4 (4)","a",IF(OR(K151="2 (4)",K151="2 (2)"),VLOOKUP(K151,BT!$AE$21:$AF$22,2,FALSE),IF(OR(K151="1/0 (4)",K151="1/0 (2)"),VLOOKUP(K151,BT!$AE$24:$AF$25,2,FALSE),IF(OR(K151="4/0 (4)",K151="4/0 (2)",K151="4/0 (1/0)"),VLOOKUP(K151,BT!$AE$27:$AF$29,2,FALSE),IF(OR(K151="336,4 (4)",K151="336,4 (2)",K151="336,4 (1/0)",K151="336,4 (4/0)"),VLOOKUP(K151,BT!$AE$31:$AF$34,2,FALSE),0))))))</f>
        <v/>
      </c>
      <c r="O151" s="38"/>
      <c r="P151" s="268" t="str">
        <f t="shared" si="39"/>
        <v/>
      </c>
      <c r="Q151" s="268" t="str">
        <f>IF(P151="","",SUM($P$45:P151)+$W$115)</f>
        <v/>
      </c>
      <c r="R151" s="268" t="str">
        <f t="shared" si="40"/>
        <v/>
      </c>
      <c r="S151" s="269" t="str">
        <f>IF(OR(M151="a",N151="a"),VLOOKUP("a",'Características dos Cabos'!$D$25:$L$29,9),IF(OR(M151="b",M151="c",N151="b",N151="c"),VLOOKUP("b",'Características dos Cabos'!$D$25:$L$29,9),IF(OR(M151="d",M151="e",N151="d",N151="e"),VLOOKUP("c",'Características dos Cabos'!$D$25:$L$29,9),IF(OR(M151="f",M151="g",M151="h",N151="f",N151="g",N151="h"),VLOOKUP("d",'Características dos Cabos'!$D$25:$L$29,9),IF(OR(M151="i",M151="j",M151="l",M151="m",N151="i",N151="j",N151="l",N151="m"),VLOOKUP("e",'Características dos Cabos'!$D$25:$L$29,9),"")))))</f>
        <v/>
      </c>
      <c r="T151" s="268" t="str">
        <f t="shared" si="41"/>
        <v/>
      </c>
      <c r="U151" s="269" t="str">
        <f>IF(OR(M151="a",N151="a"),VLOOKUP("a",'Características dos Cabos'!$D$25:$L$29,3),IF(OR(M151="b",M151="c",N151="b",N151="c"),VLOOKUP("b",'Características dos Cabos'!$D$25:$L$29,3),IF(OR(M151="d",M151="e",N151="d",N151="e"),VLOOKUP("c",'Características dos Cabos'!$D$25:$L$29,3),IF(OR(M151="f",M151="g",M151="h",N151="f",N151="g",N151="h"),VLOOKUP("d",'Características dos Cabos'!$D$25:$L$29,3),IF(OR(M151="i",M151="j",M151="l",M151="m",N151="i",N151="j",N151="l",N151="m"),VLOOKUP("e",'Características dos Cabos'!$D$25:$L$29,3),"")))))</f>
        <v/>
      </c>
      <c r="V151" s="270" t="str">
        <f t="shared" si="42"/>
        <v/>
      </c>
      <c r="W151" s="243"/>
      <c r="X151" s="257">
        <f t="shared" si="43"/>
        <v>0</v>
      </c>
      <c r="Y151" s="257">
        <f t="shared" si="44"/>
        <v>0</v>
      </c>
      <c r="Z151" s="243"/>
    </row>
    <row r="152" spans="1:26" ht="15" customHeight="1">
      <c r="A152" s="639"/>
      <c r="B152" s="642"/>
      <c r="C152" s="27"/>
      <c r="D152" s="23"/>
      <c r="E152" s="38"/>
      <c r="F152" s="92" t="str">
        <f t="shared" si="45"/>
        <v/>
      </c>
      <c r="G152" s="38"/>
      <c r="H152" s="265" t="str">
        <f>IF(AND(E152="",G152=""),"",SUM(F152:G154))</f>
        <v/>
      </c>
      <c r="J152" s="23"/>
      <c r="K152" s="23"/>
      <c r="L152" s="266" t="str">
        <f>IF(OR(J152="",K152=""),"",IF(J152="3",VLOOKUP(M152,'K% (Rede Convencional)'!$B$18:$M$29,8),(IF(J152="2",VLOOKUP(N152,'K% (Rede Convencional)'!$B$18:$M$29,9),(IF(J152="1",VLOOKUP(N152,'K% (Rede Convencional)'!$B$18:$M$29,10),(IF(J152="13",VLOOKUP(N152,'K% (Rede Convencional)'!$B$18:$M$29,11),(IF(J152="12",VLOOKUP(N152,'K% (Rede Convencional)'!$B$18:$M$29,12),0))))))))))</f>
        <v/>
      </c>
      <c r="M152" s="267" t="str">
        <f t="shared" si="38"/>
        <v/>
      </c>
      <c r="N152" s="267" t="str">
        <f>IF(K152="","",IF(K152="4 (4)","a",IF(OR(K152="2 (4)",K152="2 (2)"),VLOOKUP(K152,BT!$AE$21:$AF$22,2,FALSE),IF(OR(K152="1/0 (4)",K152="1/0 (2)"),VLOOKUP(K152,BT!$AE$24:$AF$25,2,FALSE),IF(OR(K152="4/0 (4)",K152="4/0 (2)",K152="4/0 (1/0)"),VLOOKUP(K152,BT!$AE$27:$AF$29,2,FALSE),IF(OR(K152="336,4 (4)",K152="336,4 (2)",K152="336,4 (1/0)",K152="336,4 (4/0)"),VLOOKUP(K152,BT!$AE$31:$AF$34,2,FALSE),0))))))</f>
        <v/>
      </c>
      <c r="O152" s="38"/>
      <c r="P152" s="268" t="str">
        <f t="shared" si="39"/>
        <v/>
      </c>
      <c r="Q152" s="268" t="str">
        <f>IF(P152="","",SUM($P$45:P152)+$W$115)</f>
        <v/>
      </c>
      <c r="R152" s="268" t="str">
        <f t="shared" si="40"/>
        <v/>
      </c>
      <c r="S152" s="269" t="str">
        <f>IF(OR(M152="a",N152="a"),VLOOKUP("a",'Características dos Cabos'!$D$25:$L$29,9),IF(OR(M152="b",M152="c",N152="b",N152="c"),VLOOKUP("b",'Características dos Cabos'!$D$25:$L$29,9),IF(OR(M152="d",M152="e",N152="d",N152="e"),VLOOKUP("c",'Características dos Cabos'!$D$25:$L$29,9),IF(OR(M152="f",M152="g",M152="h",N152="f",N152="g",N152="h"),VLOOKUP("d",'Características dos Cabos'!$D$25:$L$29,9),IF(OR(M152="i",M152="j",M152="l",M152="m",N152="i",N152="j",N152="l",N152="m"),VLOOKUP("e",'Características dos Cabos'!$D$25:$L$29,9),"")))))</f>
        <v/>
      </c>
      <c r="T152" s="268" t="str">
        <f t="shared" si="41"/>
        <v/>
      </c>
      <c r="U152" s="269" t="str">
        <f>IF(OR(M152="a",N152="a"),VLOOKUP("a",'Características dos Cabos'!$D$25:$L$29,3),IF(OR(M152="b",M152="c",N152="b",N152="c"),VLOOKUP("b",'Características dos Cabos'!$D$25:$L$29,3),IF(OR(M152="d",M152="e",N152="d",N152="e"),VLOOKUP("c",'Características dos Cabos'!$D$25:$L$29,3),IF(OR(M152="f",M152="g",M152="h",N152="f",N152="g",N152="h"),VLOOKUP("d",'Características dos Cabos'!$D$25:$L$29,3),IF(OR(M152="i",M152="j",M152="l",M152="m",N152="i",N152="j",N152="l",N152="m"),VLOOKUP("e",'Características dos Cabos'!$D$25:$L$29,3),"")))))</f>
        <v/>
      </c>
      <c r="V152" s="270" t="str">
        <f t="shared" si="42"/>
        <v/>
      </c>
      <c r="W152" s="243"/>
      <c r="X152" s="257">
        <f t="shared" si="43"/>
        <v>0</v>
      </c>
      <c r="Y152" s="257">
        <f t="shared" si="44"/>
        <v>0</v>
      </c>
      <c r="Z152" s="243"/>
    </row>
    <row r="153" spans="1:26" ht="15" customHeight="1">
      <c r="A153" s="639"/>
      <c r="B153" s="642"/>
      <c r="C153" s="27"/>
      <c r="D153" s="23"/>
      <c r="E153" s="38"/>
      <c r="F153" s="92" t="str">
        <f t="shared" si="45"/>
        <v/>
      </c>
      <c r="G153" s="38"/>
      <c r="H153" s="265" t="str">
        <f>IF(AND(E153="",G153=""),"",SUM(F153:G154))</f>
        <v/>
      </c>
      <c r="J153" s="23"/>
      <c r="K153" s="23"/>
      <c r="L153" s="266" t="str">
        <f>IF(OR(J153="",K153=""),"",IF(J153="3",VLOOKUP(M153,'K% (Rede Convencional)'!$B$18:$M$29,8),(IF(J153="2",VLOOKUP(N153,'K% (Rede Convencional)'!$B$18:$M$29,9),(IF(J153="1",VLOOKUP(N153,'K% (Rede Convencional)'!$B$18:$M$29,10),(IF(J153="13",VLOOKUP(N153,'K% (Rede Convencional)'!$B$18:$M$29,11),(IF(J153="12",VLOOKUP(N153,'K% (Rede Convencional)'!$B$18:$M$29,12),0))))))))))</f>
        <v/>
      </c>
      <c r="M153" s="267" t="str">
        <f t="shared" si="38"/>
        <v/>
      </c>
      <c r="N153" s="267" t="str">
        <f>IF(K153="","",IF(K153="4 (4)","a",IF(OR(K153="2 (4)",K153="2 (2)"),VLOOKUP(K153,BT!$AE$21:$AF$22,2,FALSE),IF(OR(K153="1/0 (4)",K153="1/0 (2)"),VLOOKUP(K153,BT!$AE$24:$AF$25,2,FALSE),IF(OR(K153="4/0 (4)",K153="4/0 (2)",K153="4/0 (1/0)"),VLOOKUP(K153,BT!$AE$27:$AF$29,2,FALSE),IF(OR(K153="336,4 (4)",K153="336,4 (2)",K153="336,4 (1/0)",K153="336,4 (4/0)"),VLOOKUP(K153,BT!$AE$31:$AF$34,2,FALSE),0))))))</f>
        <v/>
      </c>
      <c r="O153" s="38"/>
      <c r="P153" s="268" t="str">
        <f t="shared" si="39"/>
        <v/>
      </c>
      <c r="Q153" s="268" t="str">
        <f>IF(P153="","",SUM($P$45:P153)+$W$115)</f>
        <v/>
      </c>
      <c r="R153" s="268" t="str">
        <f t="shared" si="40"/>
        <v/>
      </c>
      <c r="S153" s="269" t="str">
        <f>IF(OR(M153="a",N153="a"),VLOOKUP("a",'Características dos Cabos'!$D$25:$L$29,9),IF(OR(M153="b",M153="c",N153="b",N153="c"),VLOOKUP("b",'Características dos Cabos'!$D$25:$L$29,9),IF(OR(M153="d",M153="e",N153="d",N153="e"),VLOOKUP("c",'Características dos Cabos'!$D$25:$L$29,9),IF(OR(M153="f",M153="g",M153="h",N153="f",N153="g",N153="h"),VLOOKUP("d",'Características dos Cabos'!$D$25:$L$29,9),IF(OR(M153="i",M153="j",M153="l",M153="m",N153="i",N153="j",N153="l",N153="m"),VLOOKUP("e",'Características dos Cabos'!$D$25:$L$29,9),"")))))</f>
        <v/>
      </c>
      <c r="T153" s="268" t="str">
        <f t="shared" si="41"/>
        <v/>
      </c>
      <c r="U153" s="269" t="str">
        <f>IF(OR(M153="a",N153="a"),VLOOKUP("a",'Características dos Cabos'!$D$25:$L$29,3),IF(OR(M153="b",M153="c",N153="b",N153="c"),VLOOKUP("b",'Características dos Cabos'!$D$25:$L$29,3),IF(OR(M153="d",M153="e",N153="d",N153="e"),VLOOKUP("c",'Características dos Cabos'!$D$25:$L$29,3),IF(OR(M153="f",M153="g",M153="h",N153="f",N153="g",N153="h"),VLOOKUP("d",'Características dos Cabos'!$D$25:$L$29,3),IF(OR(M153="i",M153="j",M153="l",M153="m",N153="i",N153="j",N153="l",N153="m"),VLOOKUP("e",'Características dos Cabos'!$D$25:$L$29,3),"")))))</f>
        <v/>
      </c>
      <c r="V153" s="270" t="str">
        <f t="shared" si="42"/>
        <v/>
      </c>
      <c r="W153" s="243"/>
      <c r="X153" s="257">
        <f t="shared" si="43"/>
        <v>0</v>
      </c>
      <c r="Y153" s="257">
        <f t="shared" si="44"/>
        <v>0</v>
      </c>
      <c r="Z153" s="243"/>
    </row>
    <row r="154" spans="1:26" ht="15" customHeight="1" thickBot="1">
      <c r="A154" s="639"/>
      <c r="B154" s="643"/>
      <c r="C154" s="28"/>
      <c r="D154" s="24"/>
      <c r="E154" s="39"/>
      <c r="F154" s="54" t="str">
        <f t="shared" si="45"/>
        <v/>
      </c>
      <c r="G154" s="39"/>
      <c r="H154" s="286" t="str">
        <f>IF(AND(E154="",G154=""),"",SUM(F154:G154))</f>
        <v/>
      </c>
      <c r="J154" s="24"/>
      <c r="K154" s="24"/>
      <c r="L154" s="287" t="str">
        <f>IF(OR(J154="",K154=""),"",IF(J154="3",VLOOKUP(M154,'K% (Rede Convencional)'!$B$18:$M$29,8),(IF(J154="2",VLOOKUP(N154,'K% (Rede Convencional)'!$B$18:$M$29,9),(IF(J154="1",VLOOKUP(N154,'K% (Rede Convencional)'!$B$18:$M$29,10),(IF(J154="13",VLOOKUP(N154,'K% (Rede Convencional)'!$B$18:$M$29,11),(IF(J154="12",VLOOKUP(N154,'K% (Rede Convencional)'!$B$18:$M$29,12),0))))))))))</f>
        <v/>
      </c>
      <c r="M154" s="288" t="str">
        <f t="shared" si="38"/>
        <v/>
      </c>
      <c r="N154" s="288" t="str">
        <f>IF(K154="","",IF(K154="4 (4)","a",IF(OR(K154="2 (4)",K154="2 (2)"),VLOOKUP(K154,BT!$AE$21:$AF$22,2,FALSE),IF(OR(K154="1/0 (4)",K154="1/0 (2)"),VLOOKUP(K154,BT!$AE$24:$AF$25,2,FALSE),IF(OR(K154="4/0 (4)",K154="4/0 (2)",K154="4/0 (1/0)"),VLOOKUP(K154,BT!$AE$27:$AF$29,2,FALSE),IF(OR(K154="336,4 (4)",K154="336,4 (2)",K154="336,4 (1/0)",K154="336,4 (4/0)"),VLOOKUP(K154,BT!$AE$31:$AF$34,2,FALSE),0))))))</f>
        <v/>
      </c>
      <c r="O154" s="39"/>
      <c r="P154" s="289" t="str">
        <f t="shared" si="39"/>
        <v/>
      </c>
      <c r="Q154" s="289" t="str">
        <f>IF(P154="","",SUM($P$45:P154)+$W$115)</f>
        <v/>
      </c>
      <c r="R154" s="289" t="str">
        <f t="shared" si="40"/>
        <v/>
      </c>
      <c r="S154" s="290" t="str">
        <f>IF(N154="a",VLOOKUP("a",#REF!,9),IF(OR(N154="b",N154="c"),VLOOKUP("b",#REF!,9),IF(OR(N154="d",N154="e"),VLOOKUP("c",#REF!,9),IF(OR(N154="f",N154="g",N154="h"),VLOOKUP("d",#REF!,9),IF(OR(N154="i",N154="j",N154="l",N154="m"),VLOOKUP("e",#REF!,9),"")))))</f>
        <v/>
      </c>
      <c r="T154" s="289" t="str">
        <f t="shared" si="41"/>
        <v/>
      </c>
      <c r="U154" s="290" t="str">
        <f>IF(OR(M154="a",N154="a"),VLOOKUP("a",'Características dos Cabos'!$D$25:$L$29,3),IF(OR(M154="b",M154="c",N154="b",N154="c"),VLOOKUP("b",'Características dos Cabos'!$D$25:$L$29,3),IF(OR(M154="d",M154="e",N154="d",N154="e"),VLOOKUP("c",'Características dos Cabos'!$D$25:$L$29,3),IF(OR(M154="f",M154="g",M154="h",N154="f",N154="g",N154="h"),VLOOKUP("d",'Características dos Cabos'!$D$25:$L$29,3),IF(OR(M154="i",M154="j",M154="l",M154="m",N154="i",N154="j",N154="l",N154="m"),VLOOKUP("e",'Características dos Cabos'!$D$25:$L$29,3),"")))))</f>
        <v/>
      </c>
      <c r="V154" s="291" t="str">
        <f t="shared" si="42"/>
        <v/>
      </c>
      <c r="W154" s="243"/>
      <c r="X154" s="257">
        <f t="shared" si="43"/>
        <v>0</v>
      </c>
      <c r="Y154" s="257">
        <f t="shared" si="44"/>
        <v>0</v>
      </c>
      <c r="Z154" s="243"/>
    </row>
    <row r="155" spans="1:26" ht="15" customHeight="1" thickTop="1">
      <c r="A155" s="639"/>
      <c r="B155" s="641" t="str">
        <f>CONCATENATE("Ramal 12 - Derivando no ponto ",C155)</f>
        <v xml:space="preserve">Ramal 12 - Derivando no ponto </v>
      </c>
      <c r="C155" s="26"/>
      <c r="D155" s="25"/>
      <c r="E155" s="37"/>
      <c r="F155" s="92" t="str">
        <f t="shared" si="45"/>
        <v/>
      </c>
      <c r="G155" s="37"/>
      <c r="H155" s="278" t="str">
        <f>IF(AND(E155="",G155=""),"",SUM(F155:G164))</f>
        <v/>
      </c>
      <c r="J155" s="25"/>
      <c r="K155" s="25"/>
      <c r="L155" s="279" t="str">
        <f>IF(OR(J155="",K155=""),"",IF(J155="3",VLOOKUP(M155,'K% (Rede Convencional)'!$B$18:$M$29,8),(IF(J155="2",VLOOKUP(N155,'K% (Rede Convencional)'!$B$18:$M$29,9),(IF(J155="1",VLOOKUP(N155,'K% (Rede Convencional)'!$B$18:$M$29,10),(IF(J155="13",VLOOKUP(N155,'K% (Rede Convencional)'!$B$18:$M$29,11),(IF(J155="12",VLOOKUP(N155,'K% (Rede Convencional)'!$B$18:$M$29,12),0))))))))))</f>
        <v/>
      </c>
      <c r="M155" s="253" t="str">
        <f t="shared" si="46" ref="M155:M164">IF(K155="4","a",IF(K155="2","b",IF(K155="1/0","d",IF(K155="4/0","f",IF(K155="336,4","i","")))))</f>
        <v/>
      </c>
      <c r="N155" s="253" t="str">
        <f>IF(K155="","",IF(K155="4 (4)","a",IF(OR(K155="2 (4)",K155="2 (2)"),VLOOKUP(K155,BT!$AE$21:$AF$22,2,FALSE),IF(OR(K155="1/0 (4)",K155="1/0 (2)"),VLOOKUP(K155,BT!$AE$24:$AF$25,2,FALSE),IF(OR(K155="4/0 (4)",K155="4/0 (2)",K155="4/0 (1/0)"),VLOOKUP(K155,BT!$AE$27:$AF$29,2,FALSE),IF(OR(K155="336,4 (4)",K155="336,4 (2)",K155="336,4 (1/0)",K155="336,4 (4/0)"),VLOOKUP(K155,BT!$AE$31:$AF$34,2,FALSE),0))))))</f>
        <v/>
      </c>
      <c r="O155" s="37"/>
      <c r="P155" s="280" t="str">
        <f t="shared" si="47" ref="P155:P164">IF(OR(H155="",L155="",O155=""),"",L155*H155*O155)</f>
        <v/>
      </c>
      <c r="Q155" s="280" t="str">
        <f>IF(P155="","",P155+VLOOKUP(C155,$D$21:$Q$43,13,FALSE))</f>
        <v/>
      </c>
      <c r="R155" s="280" t="str">
        <f t="shared" si="48" ref="R155:R164">IF(H155="","",IF(J155="3",H155*1000/($D$14*SQRT(3)),IF(J155="2",H155*1000*SQRT(3)/($D$14*2),IF(J155="1",H155*1000*SQRT(3)/$D$14,IF(J155="13",H155*1000/$D$16,IF(J155="12",H155*1000*2/$D$16,"erro"))))))</f>
        <v/>
      </c>
      <c r="S155" s="281" t="str">
        <f>IF(OR(M155="a",N155="a"),VLOOKUP("a",'Características dos Cabos'!$D$25:$L$29,9),IF(OR(M155="b",M155="c",N155="b",N155="c"),VLOOKUP("b",'Características dos Cabos'!$D$25:$L$29,9),IF(OR(M155="d",M155="e",N155="d",N155="e"),VLOOKUP("c",'Características dos Cabos'!$D$25:$L$29,9),IF(OR(M155="f",M155="g",M155="h",N155="f",N155="g",N155="h"),VLOOKUP("d",'Características dos Cabos'!$D$25:$L$29,9),IF(OR(M155="i",M155="j",M155="l",M155="m",N155="i",N155="j",N155="l",N155="m"),VLOOKUP("e",'Características dos Cabos'!$D$25:$L$29,9),"")))))</f>
        <v/>
      </c>
      <c r="T155" s="280" t="str">
        <f t="shared" si="49" ref="T155:T164">IF(S155="","",R155*100/S155)</f>
        <v/>
      </c>
      <c r="U155" s="281" t="str">
        <f>IF(OR(M155="a",N155="a"),VLOOKUP("a",'Características dos Cabos'!$D$25:$L$29,3),IF(OR(M155="b",M155="c",N155="b",N155="c"),VLOOKUP("b",'Características dos Cabos'!$D$25:$L$29,3),IF(OR(M155="d",M155="e",N155="d",N155="e"),VLOOKUP("c",'Características dos Cabos'!$D$25:$L$29,3),IF(OR(M155="f",M155="g",M155="h",N155="f",N155="g",N155="h"),VLOOKUP("d",'Características dos Cabos'!$D$25:$L$29,3),IF(OR(M155="i",M155="j",M155="l",M155="m",N155="i",N155="j",N155="l",N155="m"),VLOOKUP("e",'Características dos Cabos'!$D$25:$L$29,3),"")))))</f>
        <v/>
      </c>
      <c r="V155" s="282" t="str">
        <f t="shared" si="50" ref="V155:V164">IF(OR(O155="",$G$16="",H155="",N155=""),"",IF(J155="3",3*$L$12*U155*O155/1000*R155^2*8.76,IF(OR(J155="2",J155="13"),2*$L$12*U155*O155/1000*R155^2*8.76,IF(OR(J155="1",J155="12"),$L$12*U155*O155/1000*R155^2*8.76))))</f>
        <v/>
      </c>
      <c r="W155" s="445" t="e">
        <f>VLOOKUP(C155,$D$21:$Q$43,12,FALSE)</f>
        <v>#N/A</v>
      </c>
      <c r="X155" s="257">
        <f t="shared" si="51" ref="X155:X164">D155</f>
        <v>0</v>
      </c>
      <c r="Y155" s="257">
        <f t="shared" si="52" ref="Y155:Y164">K155</f>
        <v>0</v>
      </c>
      <c r="Z155" s="243"/>
    </row>
    <row r="156" spans="1:26" ht="15" customHeight="1">
      <c r="A156" s="639"/>
      <c r="B156" s="642"/>
      <c r="C156" s="27"/>
      <c r="D156" s="23"/>
      <c r="E156" s="38"/>
      <c r="F156" s="92" t="str">
        <f t="shared" si="45"/>
        <v/>
      </c>
      <c r="G156" s="38"/>
      <c r="H156" s="265" t="str">
        <f>IF(AND(E156="",G156=""),"",SUM(F156:G164))</f>
        <v/>
      </c>
      <c r="J156" s="23"/>
      <c r="K156" s="23"/>
      <c r="L156" s="266" t="str">
        <f>IF(OR(J156="",K156=""),"",IF(J156="3",VLOOKUP(M156,'K% (Rede Convencional)'!$B$18:$M$29,8),(IF(J156="2",VLOOKUP(N156,'K% (Rede Convencional)'!$B$18:$M$29,9),(IF(J156="1",VLOOKUP(N156,'K% (Rede Convencional)'!$B$18:$M$29,10),(IF(J156="13",VLOOKUP(N156,'K% (Rede Convencional)'!$B$18:$M$29,11),(IF(J156="12",VLOOKUP(N156,'K% (Rede Convencional)'!$B$18:$M$29,12),0))))))))))</f>
        <v/>
      </c>
      <c r="M156" s="267" t="str">
        <f t="shared" si="46"/>
        <v/>
      </c>
      <c r="N156" s="267" t="str">
        <f>IF(K156="","",IF(K156="4 (4)","a",IF(OR(K156="2 (4)",K156="2 (2)"),VLOOKUP(K156,BT!$AE$21:$AF$22,2,FALSE),IF(OR(K156="1/0 (4)",K156="1/0 (2)"),VLOOKUP(K156,BT!$AE$24:$AF$25,2,FALSE),IF(OR(K156="4/0 (4)",K156="4/0 (2)",K156="4/0 (1/0)"),VLOOKUP(K156,BT!$AE$27:$AF$29,2,FALSE),IF(OR(K156="336,4 (4)",K156="336,4 (2)",K156="336,4 (1/0)",K156="336,4 (4/0)"),VLOOKUP(K156,BT!$AE$31:$AF$34,2,FALSE),0))))))</f>
        <v/>
      </c>
      <c r="O156" s="38"/>
      <c r="P156" s="268" t="str">
        <f t="shared" si="47"/>
        <v/>
      </c>
      <c r="Q156" s="268" t="str">
        <f>IF(P156="","",SUM($P$45:P156)+$W$115)</f>
        <v/>
      </c>
      <c r="R156" s="268" t="str">
        <f t="shared" si="48"/>
        <v/>
      </c>
      <c r="S156" s="269" t="str">
        <f>IF(OR(M156="a",N156="a"),VLOOKUP("a",'Características dos Cabos'!$D$25:$L$29,9),IF(OR(M156="b",M156="c",N156="b",N156="c"),VLOOKUP("b",'Características dos Cabos'!$D$25:$L$29,9),IF(OR(M156="d",M156="e",N156="d",N156="e"),VLOOKUP("c",'Características dos Cabos'!$D$25:$L$29,9),IF(OR(M156="f",M156="g",M156="h",N156="f",N156="g",N156="h"),VLOOKUP("d",'Características dos Cabos'!$D$25:$L$29,9),IF(OR(M156="i",M156="j",M156="l",M156="m",N156="i",N156="j",N156="l",N156="m"),VLOOKUP("e",'Características dos Cabos'!$D$25:$L$29,9),"")))))</f>
        <v/>
      </c>
      <c r="T156" s="268" t="str">
        <f t="shared" si="49"/>
        <v/>
      </c>
      <c r="U156" s="269" t="str">
        <f>IF(OR(M156="a",N156="a"),VLOOKUP("a",'Características dos Cabos'!$D$25:$L$29,3),IF(OR(M156="b",M156="c",N156="b",N156="c"),VLOOKUP("b",'Características dos Cabos'!$D$25:$L$29,3),IF(OR(M156="d",M156="e",N156="d",N156="e"),VLOOKUP("c",'Características dos Cabos'!$D$25:$L$29,3),IF(OR(M156="f",M156="g",M156="h",N156="f",N156="g",N156="h"),VLOOKUP("d",'Características dos Cabos'!$D$25:$L$29,3),IF(OR(M156="i",M156="j",M156="l",M156="m",N156="i",N156="j",N156="l",N156="m"),VLOOKUP("e",'Características dos Cabos'!$D$25:$L$29,3),"")))))</f>
        <v/>
      </c>
      <c r="V156" s="270" t="str">
        <f t="shared" si="50"/>
        <v/>
      </c>
      <c r="W156" s="243"/>
      <c r="X156" s="257">
        <f t="shared" si="51"/>
        <v>0</v>
      </c>
      <c r="Y156" s="257">
        <f t="shared" si="52"/>
        <v>0</v>
      </c>
      <c r="Z156" s="243"/>
    </row>
    <row r="157" spans="1:26" ht="15" customHeight="1">
      <c r="A157" s="639"/>
      <c r="B157" s="642"/>
      <c r="C157" s="27"/>
      <c r="D157" s="23"/>
      <c r="E157" s="38"/>
      <c r="F157" s="92" t="str">
        <f t="shared" si="45"/>
        <v/>
      </c>
      <c r="G157" s="38"/>
      <c r="H157" s="265" t="str">
        <f>IF(AND(E157="",G157=""),"",SUM(F157:G164))</f>
        <v/>
      </c>
      <c r="J157" s="23"/>
      <c r="K157" s="23"/>
      <c r="L157" s="266" t="str">
        <f>IF(OR(J157="",K157=""),"",IF(J157="3",VLOOKUP(M157,'K% (Rede Convencional)'!$B$18:$M$29,8),(IF(J157="2",VLOOKUP(N157,'K% (Rede Convencional)'!$B$18:$M$29,9),(IF(J157="1",VLOOKUP(N157,'K% (Rede Convencional)'!$B$18:$M$29,10),(IF(J157="13",VLOOKUP(N157,'K% (Rede Convencional)'!$B$18:$M$29,11),(IF(J157="12",VLOOKUP(N157,'K% (Rede Convencional)'!$B$18:$M$29,12),0))))))))))</f>
        <v/>
      </c>
      <c r="M157" s="267" t="str">
        <f t="shared" si="46"/>
        <v/>
      </c>
      <c r="N157" s="267" t="str">
        <f>IF(K157="","",IF(K157="4 (4)","a",IF(OR(K157="2 (4)",K157="2 (2)"),VLOOKUP(K157,BT!$AE$21:$AF$22,2,FALSE),IF(OR(K157="1/0 (4)",K157="1/0 (2)"),VLOOKUP(K157,BT!$AE$24:$AF$25,2,FALSE),IF(OR(K157="4/0 (4)",K157="4/0 (2)",K157="4/0 (1/0)"),VLOOKUP(K157,BT!$AE$27:$AF$29,2,FALSE),IF(OR(K157="336,4 (4)",K157="336,4 (2)",K157="336,4 (1/0)",K157="336,4 (4/0)"),VLOOKUP(K157,BT!$AE$31:$AF$34,2,FALSE),0))))))</f>
        <v/>
      </c>
      <c r="O157" s="38"/>
      <c r="P157" s="268" t="str">
        <f t="shared" si="47"/>
        <v/>
      </c>
      <c r="Q157" s="268" t="str">
        <f>IF(P157="","",SUM($P$45:P157)+$W$115)</f>
        <v/>
      </c>
      <c r="R157" s="268" t="str">
        <f t="shared" si="48"/>
        <v/>
      </c>
      <c r="S157" s="269" t="str">
        <f>IF(OR(M157="a",N157="a"),VLOOKUP("a",'Características dos Cabos'!$D$25:$L$29,9),IF(OR(M157="b",M157="c",N157="b",N157="c"),VLOOKUP("b",'Características dos Cabos'!$D$25:$L$29,9),IF(OR(M157="d",M157="e",N157="d",N157="e"),VLOOKUP("c",'Características dos Cabos'!$D$25:$L$29,9),IF(OR(M157="f",M157="g",M157="h",N157="f",N157="g",N157="h"),VLOOKUP("d",'Características dos Cabos'!$D$25:$L$29,9),IF(OR(M157="i",M157="j",M157="l",M157="m",N157="i",N157="j",N157="l",N157="m"),VLOOKUP("e",'Características dos Cabos'!$D$25:$L$29,9),"")))))</f>
        <v/>
      </c>
      <c r="T157" s="268" t="str">
        <f t="shared" si="49"/>
        <v/>
      </c>
      <c r="U157" s="269" t="str">
        <f>IF(OR(M157="a",N157="a"),VLOOKUP("a",'Características dos Cabos'!$D$25:$L$29,3),IF(OR(M157="b",M157="c",N157="b",N157="c"),VLOOKUP("b",'Características dos Cabos'!$D$25:$L$29,3),IF(OR(M157="d",M157="e",N157="d",N157="e"),VLOOKUP("c",'Características dos Cabos'!$D$25:$L$29,3),IF(OR(M157="f",M157="g",M157="h",N157="f",N157="g",N157="h"),VLOOKUP("d",'Características dos Cabos'!$D$25:$L$29,3),IF(OR(M157="i",M157="j",M157="l",M157="m",N157="i",N157="j",N157="l",N157="m"),VLOOKUP("e",'Características dos Cabos'!$D$25:$L$29,3),"")))))</f>
        <v/>
      </c>
      <c r="V157" s="270" t="str">
        <f t="shared" si="50"/>
        <v/>
      </c>
      <c r="W157" s="243"/>
      <c r="X157" s="257">
        <f t="shared" si="51"/>
        <v>0</v>
      </c>
      <c r="Y157" s="257">
        <f t="shared" si="52"/>
        <v>0</v>
      </c>
      <c r="Z157" s="243"/>
    </row>
    <row r="158" spans="1:26" ht="15" customHeight="1">
      <c r="A158" s="639"/>
      <c r="B158" s="642"/>
      <c r="C158" s="27"/>
      <c r="D158" s="23"/>
      <c r="E158" s="38"/>
      <c r="F158" s="92" t="str">
        <f t="shared" si="45"/>
        <v/>
      </c>
      <c r="G158" s="38"/>
      <c r="H158" s="265" t="str">
        <f>IF(AND(E158="",G158=""),"",SUM(F158:G164))</f>
        <v/>
      </c>
      <c r="J158" s="23"/>
      <c r="K158" s="23"/>
      <c r="L158" s="266" t="str">
        <f>IF(OR(J158="",K158=""),"",IF(J158="3",VLOOKUP(M158,'K% (Rede Convencional)'!$B$18:$M$29,8),(IF(J158="2",VLOOKUP(N158,'K% (Rede Convencional)'!$B$18:$M$29,9),(IF(J158="1",VLOOKUP(N158,'K% (Rede Convencional)'!$B$18:$M$29,10),(IF(J158="13",VLOOKUP(N158,'K% (Rede Convencional)'!$B$18:$M$29,11),(IF(J158="12",VLOOKUP(N158,'K% (Rede Convencional)'!$B$18:$M$29,12),0))))))))))</f>
        <v/>
      </c>
      <c r="M158" s="267" t="str">
        <f t="shared" si="46"/>
        <v/>
      </c>
      <c r="N158" s="267" t="str">
        <f>IF(K158="","",IF(K158="4 (4)","a",IF(OR(K158="2 (4)",K158="2 (2)"),VLOOKUP(K158,BT!$AE$21:$AF$22,2,FALSE),IF(OR(K158="1/0 (4)",K158="1/0 (2)"),VLOOKUP(K158,BT!$AE$24:$AF$25,2,FALSE),IF(OR(K158="4/0 (4)",K158="4/0 (2)",K158="4/0 (1/0)"),VLOOKUP(K158,BT!$AE$27:$AF$29,2,FALSE),IF(OR(K158="336,4 (4)",K158="336,4 (2)",K158="336,4 (1/0)",K158="336,4 (4/0)"),VLOOKUP(K158,BT!$AE$31:$AF$34,2,FALSE),0))))))</f>
        <v/>
      </c>
      <c r="O158" s="38"/>
      <c r="P158" s="268" t="str">
        <f t="shared" si="47"/>
        <v/>
      </c>
      <c r="Q158" s="268" t="str">
        <f>IF(P158="","",SUM($P$45:P158)+$W$115)</f>
        <v/>
      </c>
      <c r="R158" s="268" t="str">
        <f t="shared" si="48"/>
        <v/>
      </c>
      <c r="S158" s="269" t="str">
        <f>IF(OR(M158="a",N158="a"),VLOOKUP("a",'Características dos Cabos'!$D$25:$L$29,9),IF(OR(M158="b",M158="c",N158="b",N158="c"),VLOOKUP("b",'Características dos Cabos'!$D$25:$L$29,9),IF(OR(M158="d",M158="e",N158="d",N158="e"),VLOOKUP("c",'Características dos Cabos'!$D$25:$L$29,9),IF(OR(M158="f",M158="g",M158="h",N158="f",N158="g",N158="h"),VLOOKUP("d",'Características dos Cabos'!$D$25:$L$29,9),IF(OR(M158="i",M158="j",M158="l",M158="m",N158="i",N158="j",N158="l",N158="m"),VLOOKUP("e",'Características dos Cabos'!$D$25:$L$29,9),"")))))</f>
        <v/>
      </c>
      <c r="T158" s="268" t="str">
        <f t="shared" si="49"/>
        <v/>
      </c>
      <c r="U158" s="269" t="str">
        <f>IF(OR(M158="a",N158="a"),VLOOKUP("a",'Características dos Cabos'!$D$25:$L$29,3),IF(OR(M158="b",M158="c",N158="b",N158="c"),VLOOKUP("b",'Características dos Cabos'!$D$25:$L$29,3),IF(OR(M158="d",M158="e",N158="d",N158="e"),VLOOKUP("c",'Características dos Cabos'!$D$25:$L$29,3),IF(OR(M158="f",M158="g",M158="h",N158="f",N158="g",N158="h"),VLOOKUP("d",'Características dos Cabos'!$D$25:$L$29,3),IF(OR(M158="i",M158="j",M158="l",M158="m",N158="i",N158="j",N158="l",N158="m"),VLOOKUP("e",'Características dos Cabos'!$D$25:$L$29,3),"")))))</f>
        <v/>
      </c>
      <c r="V158" s="270" t="str">
        <f t="shared" si="50"/>
        <v/>
      </c>
      <c r="W158" s="243"/>
      <c r="X158" s="257">
        <f t="shared" si="51"/>
        <v>0</v>
      </c>
      <c r="Y158" s="257">
        <f t="shared" si="52"/>
        <v>0</v>
      </c>
      <c r="Z158" s="243"/>
    </row>
    <row r="159" spans="1:26" ht="15" customHeight="1">
      <c r="A159" s="639"/>
      <c r="B159" s="642"/>
      <c r="C159" s="27"/>
      <c r="D159" s="23"/>
      <c r="E159" s="38"/>
      <c r="F159" s="92" t="str">
        <f t="shared" si="45"/>
        <v/>
      </c>
      <c r="G159" s="38"/>
      <c r="H159" s="265" t="str">
        <f>IF(AND(E159="",G159=""),"",SUM(F159:G164))</f>
        <v/>
      </c>
      <c r="J159" s="23"/>
      <c r="K159" s="23"/>
      <c r="L159" s="266" t="str">
        <f>IF(OR(J159="",K159=""),"",IF(J159="3",VLOOKUP(M159,'K% (Rede Convencional)'!$B$18:$M$29,8),(IF(J159="2",VLOOKUP(N159,'K% (Rede Convencional)'!$B$18:$M$29,9),(IF(J159="1",VLOOKUP(N159,'K% (Rede Convencional)'!$B$18:$M$29,10),(IF(J159="13",VLOOKUP(N159,'K% (Rede Convencional)'!$B$18:$M$29,11),(IF(J159="12",VLOOKUP(N159,'K% (Rede Convencional)'!$B$18:$M$29,12),0))))))))))</f>
        <v/>
      </c>
      <c r="M159" s="267" t="str">
        <f t="shared" si="46"/>
        <v/>
      </c>
      <c r="N159" s="267" t="str">
        <f>IF(K159="","",IF(K159="4 (4)","a",IF(OR(K159="2 (4)",K159="2 (2)"),VLOOKUP(K159,BT!$AE$21:$AF$22,2,FALSE),IF(OR(K159="1/0 (4)",K159="1/0 (2)"),VLOOKUP(K159,BT!$AE$24:$AF$25,2,FALSE),IF(OR(K159="4/0 (4)",K159="4/0 (2)",K159="4/0 (1/0)"),VLOOKUP(K159,BT!$AE$27:$AF$29,2,FALSE),IF(OR(K159="336,4 (4)",K159="336,4 (2)",K159="336,4 (1/0)",K159="336,4 (4/0)"),VLOOKUP(K159,BT!$AE$31:$AF$34,2,FALSE),0))))))</f>
        <v/>
      </c>
      <c r="O159" s="38"/>
      <c r="P159" s="268" t="str">
        <f t="shared" si="47"/>
        <v/>
      </c>
      <c r="Q159" s="268" t="str">
        <f>IF(P159="","",SUM($P$45:P159)+$W$115)</f>
        <v/>
      </c>
      <c r="R159" s="268" t="str">
        <f t="shared" si="48"/>
        <v/>
      </c>
      <c r="S159" s="269" t="str">
        <f>IF(OR(M159="a",N159="a"),VLOOKUP("a",'Características dos Cabos'!$D$25:$L$29,9),IF(OR(M159="b",M159="c",N159="b",N159="c"),VLOOKUP("b",'Características dos Cabos'!$D$25:$L$29,9),IF(OR(M159="d",M159="e",N159="d",N159="e"),VLOOKUP("c",'Características dos Cabos'!$D$25:$L$29,9),IF(OR(M159="f",M159="g",M159="h",N159="f",N159="g",N159="h"),VLOOKUP("d",'Características dos Cabos'!$D$25:$L$29,9),IF(OR(M159="i",M159="j",M159="l",M159="m",N159="i",N159="j",N159="l",N159="m"),VLOOKUP("e",'Características dos Cabos'!$D$25:$L$29,9),"")))))</f>
        <v/>
      </c>
      <c r="T159" s="268" t="str">
        <f t="shared" si="49"/>
        <v/>
      </c>
      <c r="U159" s="269" t="str">
        <f>IF(OR(M159="a",N159="a"),VLOOKUP("a",'Características dos Cabos'!$D$25:$L$29,3),IF(OR(M159="b",M159="c",N159="b",N159="c"),VLOOKUP("b",'Características dos Cabos'!$D$25:$L$29,3),IF(OR(M159="d",M159="e",N159="d",N159="e"),VLOOKUP("c",'Características dos Cabos'!$D$25:$L$29,3),IF(OR(M159="f",M159="g",M159="h",N159="f",N159="g",N159="h"),VLOOKUP("d",'Características dos Cabos'!$D$25:$L$29,3),IF(OR(M159="i",M159="j",M159="l",M159="m",N159="i",N159="j",N159="l",N159="m"),VLOOKUP("e",'Características dos Cabos'!$D$25:$L$29,3),"")))))</f>
        <v/>
      </c>
      <c r="V159" s="270" t="str">
        <f t="shared" si="50"/>
        <v/>
      </c>
      <c r="W159" s="243"/>
      <c r="X159" s="257">
        <f t="shared" si="51"/>
        <v>0</v>
      </c>
      <c r="Y159" s="257">
        <f t="shared" si="52"/>
        <v>0</v>
      </c>
      <c r="Z159" s="243"/>
    </row>
    <row r="160" spans="1:26" ht="15" customHeight="1">
      <c r="A160" s="639"/>
      <c r="B160" s="642"/>
      <c r="C160" s="27"/>
      <c r="D160" s="23"/>
      <c r="E160" s="38"/>
      <c r="F160" s="92" t="str">
        <f t="shared" si="45"/>
        <v/>
      </c>
      <c r="G160" s="38"/>
      <c r="H160" s="265" t="str">
        <f>IF(AND(E160="",G160=""),"",SUM(F160:G164))</f>
        <v/>
      </c>
      <c r="J160" s="23"/>
      <c r="K160" s="23"/>
      <c r="L160" s="266" t="str">
        <f>IF(OR(J160="",K160=""),"",IF(J160="3",VLOOKUP(M160,'K% (Rede Convencional)'!$B$18:$M$29,8),(IF(J160="2",VLOOKUP(N160,'K% (Rede Convencional)'!$B$18:$M$29,9),(IF(J160="1",VLOOKUP(N160,'K% (Rede Convencional)'!$B$18:$M$29,10),(IF(J160="13",VLOOKUP(N160,'K% (Rede Convencional)'!$B$18:$M$29,11),(IF(J160="12",VLOOKUP(N160,'K% (Rede Convencional)'!$B$18:$M$29,12),0))))))))))</f>
        <v/>
      </c>
      <c r="M160" s="267" t="str">
        <f t="shared" si="46"/>
        <v/>
      </c>
      <c r="N160" s="267" t="str">
        <f>IF(K160="","",IF(K160="4 (4)","a",IF(OR(K160="2 (4)",K160="2 (2)"),VLOOKUP(K160,BT!$AE$21:$AF$22,2,FALSE),IF(OR(K160="1/0 (4)",K160="1/0 (2)"),VLOOKUP(K160,BT!$AE$24:$AF$25,2,FALSE),IF(OR(K160="4/0 (4)",K160="4/0 (2)",K160="4/0 (1/0)"),VLOOKUP(K160,BT!$AE$27:$AF$29,2,FALSE),IF(OR(K160="336,4 (4)",K160="336,4 (2)",K160="336,4 (1/0)",K160="336,4 (4/0)"),VLOOKUP(K160,BT!$AE$31:$AF$34,2,FALSE),0))))))</f>
        <v/>
      </c>
      <c r="O160" s="38"/>
      <c r="P160" s="268" t="str">
        <f t="shared" si="47"/>
        <v/>
      </c>
      <c r="Q160" s="268" t="str">
        <f>IF(P160="","",SUM($P$45:P160)+$W$115)</f>
        <v/>
      </c>
      <c r="R160" s="268" t="str">
        <f t="shared" si="48"/>
        <v/>
      </c>
      <c r="S160" s="269" t="str">
        <f>IF(OR(M160="a",N160="a"),VLOOKUP("a",'Características dos Cabos'!$D$25:$L$29,9),IF(OR(M160="b",M160="c",N160="b",N160="c"),VLOOKUP("b",'Características dos Cabos'!$D$25:$L$29,9),IF(OR(M160="d",M160="e",N160="d",N160="e"),VLOOKUP("c",'Características dos Cabos'!$D$25:$L$29,9),IF(OR(M160="f",M160="g",M160="h",N160="f",N160="g",N160="h"),VLOOKUP("d",'Características dos Cabos'!$D$25:$L$29,9),IF(OR(M160="i",M160="j",M160="l",M160="m",N160="i",N160="j",N160="l",N160="m"),VLOOKUP("e",'Características dos Cabos'!$D$25:$L$29,9),"")))))</f>
        <v/>
      </c>
      <c r="T160" s="268" t="str">
        <f t="shared" si="49"/>
        <v/>
      </c>
      <c r="U160" s="269" t="str">
        <f>IF(OR(M160="a",N160="a"),VLOOKUP("a",'Características dos Cabos'!$D$25:$L$29,3),IF(OR(M160="b",M160="c",N160="b",N160="c"),VLOOKUP("b",'Características dos Cabos'!$D$25:$L$29,3),IF(OR(M160="d",M160="e",N160="d",N160="e"),VLOOKUP("c",'Características dos Cabos'!$D$25:$L$29,3),IF(OR(M160="f",M160="g",M160="h",N160="f",N160="g",N160="h"),VLOOKUP("d",'Características dos Cabos'!$D$25:$L$29,3),IF(OR(M160="i",M160="j",M160="l",M160="m",N160="i",N160="j",N160="l",N160="m"),VLOOKUP("e",'Características dos Cabos'!$D$25:$L$29,3),"")))))</f>
        <v/>
      </c>
      <c r="V160" s="270" t="str">
        <f t="shared" si="50"/>
        <v/>
      </c>
      <c r="W160" s="243"/>
      <c r="X160" s="257">
        <f t="shared" si="51"/>
        <v>0</v>
      </c>
      <c r="Y160" s="257">
        <f t="shared" si="52"/>
        <v>0</v>
      </c>
      <c r="Z160" s="243"/>
    </row>
    <row r="161" spans="1:26" ht="15" customHeight="1">
      <c r="A161" s="639"/>
      <c r="B161" s="642"/>
      <c r="C161" s="27"/>
      <c r="D161" s="23"/>
      <c r="E161" s="38"/>
      <c r="F161" s="92" t="str">
        <f t="shared" si="45"/>
        <v/>
      </c>
      <c r="G161" s="38"/>
      <c r="H161" s="265" t="str">
        <f>IF(AND(E161="",G161=""),"",SUM(F161:G164))</f>
        <v/>
      </c>
      <c r="J161" s="23"/>
      <c r="K161" s="23"/>
      <c r="L161" s="266" t="str">
        <f>IF(OR(J161="",K161=""),"",IF(J161="3",VLOOKUP(M161,'K% (Rede Convencional)'!$B$18:$M$29,8),(IF(J161="2",VLOOKUP(N161,'K% (Rede Convencional)'!$B$18:$M$29,9),(IF(J161="1",VLOOKUP(N161,'K% (Rede Convencional)'!$B$18:$M$29,10),(IF(J161="13",VLOOKUP(N161,'K% (Rede Convencional)'!$B$18:$M$29,11),(IF(J161="12",VLOOKUP(N161,'K% (Rede Convencional)'!$B$18:$M$29,12),0))))))))))</f>
        <v/>
      </c>
      <c r="M161" s="267" t="str">
        <f t="shared" si="46"/>
        <v/>
      </c>
      <c r="N161" s="267" t="str">
        <f>IF(K161="","",IF(K161="4 (4)","a",IF(OR(K161="2 (4)",K161="2 (2)"),VLOOKUP(K161,BT!$AE$21:$AF$22,2,FALSE),IF(OR(K161="1/0 (4)",K161="1/0 (2)"),VLOOKUP(K161,BT!$AE$24:$AF$25,2,FALSE),IF(OR(K161="4/0 (4)",K161="4/0 (2)",K161="4/0 (1/0)"),VLOOKUP(K161,BT!$AE$27:$AF$29,2,FALSE),IF(OR(K161="336,4 (4)",K161="336,4 (2)",K161="336,4 (1/0)",K161="336,4 (4/0)"),VLOOKUP(K161,BT!$AE$31:$AF$34,2,FALSE),0))))))</f>
        <v/>
      </c>
      <c r="O161" s="38"/>
      <c r="P161" s="268" t="str">
        <f t="shared" si="47"/>
        <v/>
      </c>
      <c r="Q161" s="268" t="str">
        <f>IF(P161="","",SUM($P$45:P161)+$W$115)</f>
        <v/>
      </c>
      <c r="R161" s="268" t="str">
        <f t="shared" si="48"/>
        <v/>
      </c>
      <c r="S161" s="269" t="str">
        <f>IF(OR(M161="a",N161="a"),VLOOKUP("a",'Características dos Cabos'!$D$25:$L$29,9),IF(OR(M161="b",M161="c",N161="b",N161="c"),VLOOKUP("b",'Características dos Cabos'!$D$25:$L$29,9),IF(OR(M161="d",M161="e",N161="d",N161="e"),VLOOKUP("c",'Características dos Cabos'!$D$25:$L$29,9),IF(OR(M161="f",M161="g",M161="h",N161="f",N161="g",N161="h"),VLOOKUP("d",'Características dos Cabos'!$D$25:$L$29,9),IF(OR(M161="i",M161="j",M161="l",M161="m",N161="i",N161="j",N161="l",N161="m"),VLOOKUP("e",'Características dos Cabos'!$D$25:$L$29,9),"")))))</f>
        <v/>
      </c>
      <c r="T161" s="268" t="str">
        <f t="shared" si="49"/>
        <v/>
      </c>
      <c r="U161" s="269" t="str">
        <f>IF(OR(M161="a",N161="a"),VLOOKUP("a",'Características dos Cabos'!$D$25:$L$29,3),IF(OR(M161="b",M161="c",N161="b",N161="c"),VLOOKUP("b",'Características dos Cabos'!$D$25:$L$29,3),IF(OR(M161="d",M161="e",N161="d",N161="e"),VLOOKUP("c",'Características dos Cabos'!$D$25:$L$29,3),IF(OR(M161="f",M161="g",M161="h",N161="f",N161="g",N161="h"),VLOOKUP("d",'Características dos Cabos'!$D$25:$L$29,3),IF(OR(M161="i",M161="j",M161="l",M161="m",N161="i",N161="j",N161="l",N161="m"),VLOOKUP("e",'Características dos Cabos'!$D$25:$L$29,3),"")))))</f>
        <v/>
      </c>
      <c r="V161" s="270" t="str">
        <f t="shared" si="50"/>
        <v/>
      </c>
      <c r="W161" s="243"/>
      <c r="X161" s="257">
        <f t="shared" si="51"/>
        <v>0</v>
      </c>
      <c r="Y161" s="257">
        <f t="shared" si="52"/>
        <v>0</v>
      </c>
      <c r="Z161" s="243"/>
    </row>
    <row r="162" spans="1:26" ht="15" customHeight="1">
      <c r="A162" s="639"/>
      <c r="B162" s="642"/>
      <c r="C162" s="27"/>
      <c r="D162" s="23"/>
      <c r="E162" s="38"/>
      <c r="F162" s="92" t="str">
        <f t="shared" si="45"/>
        <v/>
      </c>
      <c r="G162" s="38"/>
      <c r="H162" s="265" t="str">
        <f>IF(AND(E162="",G162=""),"",SUM(F162:G164))</f>
        <v/>
      </c>
      <c r="J162" s="23"/>
      <c r="K162" s="23"/>
      <c r="L162" s="266" t="str">
        <f>IF(OR(J162="",K162=""),"",IF(J162="3",VLOOKUP(M162,'K% (Rede Convencional)'!$B$18:$M$29,8),(IF(J162="2",VLOOKUP(N162,'K% (Rede Convencional)'!$B$18:$M$29,9),(IF(J162="1",VLOOKUP(N162,'K% (Rede Convencional)'!$B$18:$M$29,10),(IF(J162="13",VLOOKUP(N162,'K% (Rede Convencional)'!$B$18:$M$29,11),(IF(J162="12",VLOOKUP(N162,'K% (Rede Convencional)'!$B$18:$M$29,12),0))))))))))</f>
        <v/>
      </c>
      <c r="M162" s="267" t="str">
        <f t="shared" si="46"/>
        <v/>
      </c>
      <c r="N162" s="267" t="str">
        <f>IF(K162="","",IF(K162="4 (4)","a",IF(OR(K162="2 (4)",K162="2 (2)"),VLOOKUP(K162,BT!$AE$21:$AF$22,2,FALSE),IF(OR(K162="1/0 (4)",K162="1/0 (2)"),VLOOKUP(K162,BT!$AE$24:$AF$25,2,FALSE),IF(OR(K162="4/0 (4)",K162="4/0 (2)",K162="4/0 (1/0)"),VLOOKUP(K162,BT!$AE$27:$AF$29,2,FALSE),IF(OR(K162="336,4 (4)",K162="336,4 (2)",K162="336,4 (1/0)",K162="336,4 (4/0)"),VLOOKUP(K162,BT!$AE$31:$AF$34,2,FALSE),0))))))</f>
        <v/>
      </c>
      <c r="O162" s="38"/>
      <c r="P162" s="268" t="str">
        <f t="shared" si="47"/>
        <v/>
      </c>
      <c r="Q162" s="268" t="str">
        <f>IF(P162="","",SUM($P$45:P162)+$W$115)</f>
        <v/>
      </c>
      <c r="R162" s="268" t="str">
        <f t="shared" si="48"/>
        <v/>
      </c>
      <c r="S162" s="269" t="str">
        <f>IF(OR(M162="a",N162="a"),VLOOKUP("a",'Características dos Cabos'!$D$25:$L$29,9),IF(OR(M162="b",M162="c",N162="b",N162="c"),VLOOKUP("b",'Características dos Cabos'!$D$25:$L$29,9),IF(OR(M162="d",M162="e",N162="d",N162="e"),VLOOKUP("c",'Características dos Cabos'!$D$25:$L$29,9),IF(OR(M162="f",M162="g",M162="h",N162="f",N162="g",N162="h"),VLOOKUP("d",'Características dos Cabos'!$D$25:$L$29,9),IF(OR(M162="i",M162="j",M162="l",M162="m",N162="i",N162="j",N162="l",N162="m"),VLOOKUP("e",'Características dos Cabos'!$D$25:$L$29,9),"")))))</f>
        <v/>
      </c>
      <c r="T162" s="268" t="str">
        <f t="shared" si="49"/>
        <v/>
      </c>
      <c r="U162" s="269" t="str">
        <f>IF(OR(M162="a",N162="a"),VLOOKUP("a",'Características dos Cabos'!$D$25:$L$29,3),IF(OR(M162="b",M162="c",N162="b",N162="c"),VLOOKUP("b",'Características dos Cabos'!$D$25:$L$29,3),IF(OR(M162="d",M162="e",N162="d",N162="e"),VLOOKUP("c",'Características dos Cabos'!$D$25:$L$29,3),IF(OR(M162="f",M162="g",M162="h",N162="f",N162="g",N162="h"),VLOOKUP("d",'Características dos Cabos'!$D$25:$L$29,3),IF(OR(M162="i",M162="j",M162="l",M162="m",N162="i",N162="j",N162="l",N162="m"),VLOOKUP("e",'Características dos Cabos'!$D$25:$L$29,3),"")))))</f>
        <v/>
      </c>
      <c r="V162" s="270" t="str">
        <f t="shared" si="50"/>
        <v/>
      </c>
      <c r="W162" s="243"/>
      <c r="X162" s="257">
        <f t="shared" si="51"/>
        <v>0</v>
      </c>
      <c r="Y162" s="257">
        <f t="shared" si="52"/>
        <v>0</v>
      </c>
      <c r="Z162" s="243"/>
    </row>
    <row r="163" spans="1:26" ht="15" customHeight="1">
      <c r="A163" s="639"/>
      <c r="B163" s="642"/>
      <c r="C163" s="27"/>
      <c r="D163" s="23"/>
      <c r="E163" s="38"/>
      <c r="F163" s="92" t="str">
        <f t="shared" si="45"/>
        <v/>
      </c>
      <c r="G163" s="38"/>
      <c r="H163" s="265" t="str">
        <f>IF(AND(E163="",G163=""),"",SUM(F163:G164))</f>
        <v/>
      </c>
      <c r="J163" s="23"/>
      <c r="K163" s="23"/>
      <c r="L163" s="266" t="str">
        <f>IF(OR(J163="",K163=""),"",IF(J163="3",VLOOKUP(M163,'K% (Rede Convencional)'!$B$18:$M$29,8),(IF(J163="2",VLOOKUP(N163,'K% (Rede Convencional)'!$B$18:$M$29,9),(IF(J163="1",VLOOKUP(N163,'K% (Rede Convencional)'!$B$18:$M$29,10),(IF(J163="13",VLOOKUP(N163,'K% (Rede Convencional)'!$B$18:$M$29,11),(IF(J163="12",VLOOKUP(N163,'K% (Rede Convencional)'!$B$18:$M$29,12),0))))))))))</f>
        <v/>
      </c>
      <c r="M163" s="267" t="str">
        <f t="shared" si="46"/>
        <v/>
      </c>
      <c r="N163" s="267" t="str">
        <f>IF(K163="","",IF(K163="4 (4)","a",IF(OR(K163="2 (4)",K163="2 (2)"),VLOOKUP(K163,BT!$AE$21:$AF$22,2,FALSE),IF(OR(K163="1/0 (4)",K163="1/0 (2)"),VLOOKUP(K163,BT!$AE$24:$AF$25,2,FALSE),IF(OR(K163="4/0 (4)",K163="4/0 (2)",K163="4/0 (1/0)"),VLOOKUP(K163,BT!$AE$27:$AF$29,2,FALSE),IF(OR(K163="336,4 (4)",K163="336,4 (2)",K163="336,4 (1/0)",K163="336,4 (4/0)"),VLOOKUP(K163,BT!$AE$31:$AF$34,2,FALSE),0))))))</f>
        <v/>
      </c>
      <c r="O163" s="38"/>
      <c r="P163" s="268" t="str">
        <f t="shared" si="47"/>
        <v/>
      </c>
      <c r="Q163" s="268" t="str">
        <f>IF(P163="","",SUM($P$45:P163)+$W$115)</f>
        <v/>
      </c>
      <c r="R163" s="268" t="str">
        <f t="shared" si="48"/>
        <v/>
      </c>
      <c r="S163" s="269" t="str">
        <f>IF(OR(M163="a",N163="a"),VLOOKUP("a",'Características dos Cabos'!$D$25:$L$29,9),IF(OR(M163="b",M163="c",N163="b",N163="c"),VLOOKUP("b",'Características dos Cabos'!$D$25:$L$29,9),IF(OR(M163="d",M163="e",N163="d",N163="e"),VLOOKUP("c",'Características dos Cabos'!$D$25:$L$29,9),IF(OR(M163="f",M163="g",M163="h",N163="f",N163="g",N163="h"),VLOOKUP("d",'Características dos Cabos'!$D$25:$L$29,9),IF(OR(M163="i",M163="j",M163="l",M163="m",N163="i",N163="j",N163="l",N163="m"),VLOOKUP("e",'Características dos Cabos'!$D$25:$L$29,9),"")))))</f>
        <v/>
      </c>
      <c r="T163" s="268" t="str">
        <f t="shared" si="49"/>
        <v/>
      </c>
      <c r="U163" s="269" t="str">
        <f>IF(OR(M163="a",N163="a"),VLOOKUP("a",'Características dos Cabos'!$D$25:$L$29,3),IF(OR(M163="b",M163="c",N163="b",N163="c"),VLOOKUP("b",'Características dos Cabos'!$D$25:$L$29,3),IF(OR(M163="d",M163="e",N163="d",N163="e"),VLOOKUP("c",'Características dos Cabos'!$D$25:$L$29,3),IF(OR(M163="f",M163="g",M163="h",N163="f",N163="g",N163="h"),VLOOKUP("d",'Características dos Cabos'!$D$25:$L$29,3),IF(OR(M163="i",M163="j",M163="l",M163="m",N163="i",N163="j",N163="l",N163="m"),VLOOKUP("e",'Características dos Cabos'!$D$25:$L$29,3),"")))))</f>
        <v/>
      </c>
      <c r="V163" s="270" t="str">
        <f t="shared" si="50"/>
        <v/>
      </c>
      <c r="W163" s="243"/>
      <c r="X163" s="257">
        <f t="shared" si="51"/>
        <v>0</v>
      </c>
      <c r="Y163" s="257">
        <f t="shared" si="52"/>
        <v>0</v>
      </c>
      <c r="Z163" s="243"/>
    </row>
    <row r="164" spans="1:26" ht="15" customHeight="1" thickBot="1">
      <c r="A164" s="639"/>
      <c r="B164" s="643"/>
      <c r="C164" s="28"/>
      <c r="D164" s="24"/>
      <c r="E164" s="39"/>
      <c r="F164" s="54" t="str">
        <f t="shared" si="45"/>
        <v/>
      </c>
      <c r="G164" s="39"/>
      <c r="H164" s="286" t="str">
        <f>IF(AND(E164="",G164=""),"",SUM(F164:G164))</f>
        <v/>
      </c>
      <c r="J164" s="24"/>
      <c r="K164" s="24"/>
      <c r="L164" s="287" t="str">
        <f>IF(OR(J164="",K164=""),"",IF(J164="3",VLOOKUP(M164,'K% (Rede Convencional)'!$B$18:$M$29,8),(IF(J164="2",VLOOKUP(N164,'K% (Rede Convencional)'!$B$18:$M$29,9),(IF(J164="1",VLOOKUP(N164,'K% (Rede Convencional)'!$B$18:$M$29,10),(IF(J164="13",VLOOKUP(N164,'K% (Rede Convencional)'!$B$18:$M$29,11),(IF(J164="12",VLOOKUP(N164,'K% (Rede Convencional)'!$B$18:$M$29,12),0))))))))))</f>
        <v/>
      </c>
      <c r="M164" s="288" t="str">
        <f t="shared" si="46"/>
        <v/>
      </c>
      <c r="N164" s="288" t="str">
        <f>IF(K164="","",IF(K164="4 (4)","a",IF(OR(K164="2 (4)",K164="2 (2)"),VLOOKUP(K164,BT!$AE$21:$AF$22,2,FALSE),IF(OR(K164="1/0 (4)",K164="1/0 (2)"),VLOOKUP(K164,BT!$AE$24:$AF$25,2,FALSE),IF(OR(K164="4/0 (4)",K164="4/0 (2)",K164="4/0 (1/0)"),VLOOKUP(K164,BT!$AE$27:$AF$29,2,FALSE),IF(OR(K164="336,4 (4)",K164="336,4 (2)",K164="336,4 (1/0)",K164="336,4 (4/0)"),VLOOKUP(K164,BT!$AE$31:$AF$34,2,FALSE),0))))))</f>
        <v/>
      </c>
      <c r="O164" s="39"/>
      <c r="P164" s="289" t="str">
        <f t="shared" si="47"/>
        <v/>
      </c>
      <c r="Q164" s="289" t="str">
        <f>IF(P164="","",SUM($P$45:P164)+$W$115)</f>
        <v/>
      </c>
      <c r="R164" s="289" t="str">
        <f t="shared" si="48"/>
        <v/>
      </c>
      <c r="S164" s="290" t="str">
        <f>IF(N164="a",VLOOKUP("a",#REF!,9),IF(OR(N164="b",N164="c"),VLOOKUP("b",#REF!,9),IF(OR(N164="d",N164="e"),VLOOKUP("c",#REF!,9),IF(OR(N164="f",N164="g",N164="h"),VLOOKUP("d",#REF!,9),IF(OR(N164="i",N164="j",N164="l",N164="m"),VLOOKUP("e",#REF!,9),"")))))</f>
        <v/>
      </c>
      <c r="T164" s="289" t="str">
        <f t="shared" si="49"/>
        <v/>
      </c>
      <c r="U164" s="290" t="str">
        <f>IF(OR(M164="a",N164="a"),VLOOKUP("a",'Características dos Cabos'!$D$25:$L$29,3),IF(OR(M164="b",M164="c",N164="b",N164="c"),VLOOKUP("b",'Características dos Cabos'!$D$25:$L$29,3),IF(OR(M164="d",M164="e",N164="d",N164="e"),VLOOKUP("c",'Características dos Cabos'!$D$25:$L$29,3),IF(OR(M164="f",M164="g",M164="h",N164="f",N164="g",N164="h"),VLOOKUP("d",'Características dos Cabos'!$D$25:$L$29,3),IF(OR(M164="i",M164="j",M164="l",M164="m",N164="i",N164="j",N164="l",N164="m"),VLOOKUP("e",'Características dos Cabos'!$D$25:$L$29,3),"")))))</f>
        <v/>
      </c>
      <c r="V164" s="291" t="str">
        <f t="shared" si="50"/>
        <v/>
      </c>
      <c r="W164" s="243"/>
      <c r="X164" s="257">
        <f t="shared" si="51"/>
        <v>0</v>
      </c>
      <c r="Y164" s="257">
        <f t="shared" si="52"/>
        <v>0</v>
      </c>
      <c r="Z164" s="243"/>
    </row>
    <row r="165" spans="1:26" ht="15" customHeight="1" thickTop="1">
      <c r="A165" s="639"/>
      <c r="B165" s="641" t="str">
        <f>CONCATENATE("Ramal 13 - Derivando no ponto ",C165)</f>
        <v xml:space="preserve">Ramal 13 - Derivando no ponto </v>
      </c>
      <c r="C165" s="26"/>
      <c r="D165" s="25"/>
      <c r="E165" s="37"/>
      <c r="F165" s="92" t="str">
        <f t="shared" si="45"/>
        <v/>
      </c>
      <c r="G165" s="37"/>
      <c r="H165" s="278" t="str">
        <f>IF(AND(E165="",G165=""),"",SUM(F165:G174))</f>
        <v/>
      </c>
      <c r="J165" s="25"/>
      <c r="K165" s="25"/>
      <c r="L165" s="279" t="str">
        <f>IF(OR(J165="",K165=""),"",IF(J165="3",VLOOKUP(M165,'K% (Rede Convencional)'!$B$18:$M$29,8),(IF(J165="2",VLOOKUP(N165,'K% (Rede Convencional)'!$B$18:$M$29,9),(IF(J165="1",VLOOKUP(N165,'K% (Rede Convencional)'!$B$18:$M$29,10),(IF(J165="13",VLOOKUP(N165,'K% (Rede Convencional)'!$B$18:$M$29,11),(IF(J165="12",VLOOKUP(N165,'K% (Rede Convencional)'!$B$18:$M$29,12),0))))))))))</f>
        <v/>
      </c>
      <c r="M165" s="253" t="str">
        <f t="shared" si="53" ref="M165:M174">IF(K165="4","a",IF(K165="2","b",IF(K165="1/0","d",IF(K165="4/0","f",IF(K165="336,4","i","")))))</f>
        <v/>
      </c>
      <c r="N165" s="253" t="str">
        <f>IF(K165="","",IF(K165="4 (4)","a",IF(OR(K165="2 (4)",K165="2 (2)"),VLOOKUP(K165,BT!$AE$21:$AF$22,2,FALSE),IF(OR(K165="1/0 (4)",K165="1/0 (2)"),VLOOKUP(K165,BT!$AE$24:$AF$25,2,FALSE),IF(OR(K165="4/0 (4)",K165="4/0 (2)",K165="4/0 (1/0)"),VLOOKUP(K165,BT!$AE$27:$AF$29,2,FALSE),IF(OR(K165="336,4 (4)",K165="336,4 (2)",K165="336,4 (1/0)",K165="336,4 (4/0)"),VLOOKUP(K165,BT!$AE$31:$AF$34,2,FALSE),0))))))</f>
        <v/>
      </c>
      <c r="O165" s="37"/>
      <c r="P165" s="280" t="str">
        <f t="shared" si="54" ref="P165:P174">IF(OR(H165="",L165="",O165=""),"",L165*H165*O165)</f>
        <v/>
      </c>
      <c r="Q165" s="280" t="str">
        <f>IF(P165="","",P165+VLOOKUP(C165,$D$21:$Q$43,13,FALSE))</f>
        <v/>
      </c>
      <c r="R165" s="280" t="str">
        <f t="shared" si="55" ref="R165:R174">IF(H165="","",IF(J165="3",H165*1000/($D$14*SQRT(3)),IF(J165="2",H165*1000*SQRT(3)/($D$14*2),IF(J165="1",H165*1000*SQRT(3)/$D$14,IF(J165="13",H165*1000/$D$16,IF(J165="12",H165*1000*2/$D$16,"erro"))))))</f>
        <v/>
      </c>
      <c r="S165" s="281" t="str">
        <f>IF(OR(M165="a",N165="a"),VLOOKUP("a",'Características dos Cabos'!$D$25:$L$29,9),IF(OR(M165="b",M165="c",N165="b",N165="c"),VLOOKUP("b",'Características dos Cabos'!$D$25:$L$29,9),IF(OR(M165="d",M165="e",N165="d",N165="e"),VLOOKUP("c",'Características dos Cabos'!$D$25:$L$29,9),IF(OR(M165="f",M165="g",M165="h",N165="f",N165="g",N165="h"),VLOOKUP("d",'Características dos Cabos'!$D$25:$L$29,9),IF(OR(M165="i",M165="j",M165="l",M165="m",N165="i",N165="j",N165="l",N165="m"),VLOOKUP("e",'Características dos Cabos'!$D$25:$L$29,9),"")))))</f>
        <v/>
      </c>
      <c r="T165" s="280" t="str">
        <f t="shared" si="56" ref="T165:T174">IF(S165="","",R165*100/S165)</f>
        <v/>
      </c>
      <c r="U165" s="281" t="str">
        <f>IF(OR(M165="a",N165="a"),VLOOKUP("a",'Características dos Cabos'!$D$25:$L$29,3),IF(OR(M165="b",M165="c",N165="b",N165="c"),VLOOKUP("b",'Características dos Cabos'!$D$25:$L$29,3),IF(OR(M165="d",M165="e",N165="d",N165="e"),VLOOKUP("c",'Características dos Cabos'!$D$25:$L$29,3),IF(OR(M165="f",M165="g",M165="h",N165="f",N165="g",N165="h"),VLOOKUP("d",'Características dos Cabos'!$D$25:$L$29,3),IF(OR(M165="i",M165="j",M165="l",M165="m",N165="i",N165="j",N165="l",N165="m"),VLOOKUP("e",'Características dos Cabos'!$D$25:$L$29,3),"")))))</f>
        <v/>
      </c>
      <c r="V165" s="282" t="str">
        <f t="shared" si="57" ref="V165:V174">IF(OR(O165="",$G$16="",H165="",N165=""),"",IF(J165="3",3*$L$12*U165*O165/1000*R165^2*8.76,IF(OR(J165="2",J165="13"),2*$L$12*U165*O165/1000*R165^2*8.76,IF(OR(J165="1",J165="12"),$L$12*U165*O165/1000*R165^2*8.76))))</f>
        <v/>
      </c>
      <c r="W165" s="445" t="e">
        <f>VLOOKUP(C165,$D$21:$Q$43,12,FALSE)</f>
        <v>#N/A</v>
      </c>
      <c r="X165" s="257">
        <f t="shared" si="58" ref="X165:X174">D165</f>
        <v>0</v>
      </c>
      <c r="Y165" s="257">
        <f t="shared" si="59" ref="Y165:Y174">K165</f>
        <v>0</v>
      </c>
      <c r="Z165" s="243"/>
    </row>
    <row r="166" spans="1:26" ht="15" customHeight="1">
      <c r="A166" s="639"/>
      <c r="B166" s="642"/>
      <c r="C166" s="27"/>
      <c r="D166" s="23"/>
      <c r="E166" s="38"/>
      <c r="F166" s="92" t="str">
        <f t="shared" si="45"/>
        <v/>
      </c>
      <c r="G166" s="38"/>
      <c r="H166" s="265" t="str">
        <f>IF(AND(E166="",G166=""),"",SUM(F166:G174))</f>
        <v/>
      </c>
      <c r="J166" s="23"/>
      <c r="K166" s="23"/>
      <c r="L166" s="266" t="str">
        <f>IF(OR(J166="",K166=""),"",IF(J166="3",VLOOKUP(M166,'K% (Rede Convencional)'!$B$18:$M$29,8),(IF(J166="2",VLOOKUP(N166,'K% (Rede Convencional)'!$B$18:$M$29,9),(IF(J166="1",VLOOKUP(N166,'K% (Rede Convencional)'!$B$18:$M$29,10),(IF(J166="13",VLOOKUP(N166,'K% (Rede Convencional)'!$B$18:$M$29,11),(IF(J166="12",VLOOKUP(N166,'K% (Rede Convencional)'!$B$18:$M$29,12),0))))))))))</f>
        <v/>
      </c>
      <c r="M166" s="267" t="str">
        <f t="shared" si="53"/>
        <v/>
      </c>
      <c r="N166" s="267" t="str">
        <f>IF(K166="","",IF(K166="4 (4)","a",IF(OR(K166="2 (4)",K166="2 (2)"),VLOOKUP(K166,BT!$AE$21:$AF$22,2,FALSE),IF(OR(K166="1/0 (4)",K166="1/0 (2)"),VLOOKUP(K166,BT!$AE$24:$AF$25,2,FALSE),IF(OR(K166="4/0 (4)",K166="4/0 (2)",K166="4/0 (1/0)"),VLOOKUP(K166,BT!$AE$27:$AF$29,2,FALSE),IF(OR(K166="336,4 (4)",K166="336,4 (2)",K166="336,4 (1/0)",K166="336,4 (4/0)"),VLOOKUP(K166,BT!$AE$31:$AF$34,2,FALSE),0))))))</f>
        <v/>
      </c>
      <c r="O166" s="38"/>
      <c r="P166" s="268" t="str">
        <f t="shared" si="54"/>
        <v/>
      </c>
      <c r="Q166" s="268" t="str">
        <f>IF(P166="","",SUM($P$45:P166)+$W$115)</f>
        <v/>
      </c>
      <c r="R166" s="268" t="str">
        <f t="shared" si="55"/>
        <v/>
      </c>
      <c r="S166" s="269" t="str">
        <f>IF(OR(M166="a",N166="a"),VLOOKUP("a",'Características dos Cabos'!$D$25:$L$29,9),IF(OR(M166="b",M166="c",N166="b",N166="c"),VLOOKUP("b",'Características dos Cabos'!$D$25:$L$29,9),IF(OR(M166="d",M166="e",N166="d",N166="e"),VLOOKUP("c",'Características dos Cabos'!$D$25:$L$29,9),IF(OR(M166="f",M166="g",M166="h",N166="f",N166="g",N166="h"),VLOOKUP("d",'Características dos Cabos'!$D$25:$L$29,9),IF(OR(M166="i",M166="j",M166="l",M166="m",N166="i",N166="j",N166="l",N166="m"),VLOOKUP("e",'Características dos Cabos'!$D$25:$L$29,9),"")))))</f>
        <v/>
      </c>
      <c r="T166" s="268" t="str">
        <f t="shared" si="56"/>
        <v/>
      </c>
      <c r="U166" s="269" t="str">
        <f>IF(OR(M166="a",N166="a"),VLOOKUP("a",'Características dos Cabos'!$D$25:$L$29,3),IF(OR(M166="b",M166="c",N166="b",N166="c"),VLOOKUP("b",'Características dos Cabos'!$D$25:$L$29,3),IF(OR(M166="d",M166="e",N166="d",N166="e"),VLOOKUP("c",'Características dos Cabos'!$D$25:$L$29,3),IF(OR(M166="f",M166="g",M166="h",N166="f",N166="g",N166="h"),VLOOKUP("d",'Características dos Cabos'!$D$25:$L$29,3),IF(OR(M166="i",M166="j",M166="l",M166="m",N166="i",N166="j",N166="l",N166="m"),VLOOKUP("e",'Características dos Cabos'!$D$25:$L$29,3),"")))))</f>
        <v/>
      </c>
      <c r="V166" s="270" t="str">
        <f t="shared" si="57"/>
        <v/>
      </c>
      <c r="W166" s="243"/>
      <c r="X166" s="257">
        <f t="shared" si="58"/>
        <v>0</v>
      </c>
      <c r="Y166" s="257">
        <f t="shared" si="59"/>
        <v>0</v>
      </c>
      <c r="Z166" s="243"/>
    </row>
    <row r="167" spans="1:26" ht="15" customHeight="1">
      <c r="A167" s="639"/>
      <c r="B167" s="642"/>
      <c r="C167" s="27"/>
      <c r="D167" s="23"/>
      <c r="E167" s="38"/>
      <c r="F167" s="92" t="str">
        <f t="shared" si="45"/>
        <v/>
      </c>
      <c r="G167" s="38"/>
      <c r="H167" s="265" t="str">
        <f>IF(AND(E167="",G167=""),"",SUM(F167:G174))</f>
        <v/>
      </c>
      <c r="J167" s="23"/>
      <c r="K167" s="23"/>
      <c r="L167" s="266" t="str">
        <f>IF(OR(J167="",K167=""),"",IF(J167="3",VLOOKUP(M167,'K% (Rede Convencional)'!$B$18:$M$29,8),(IF(J167="2",VLOOKUP(N167,'K% (Rede Convencional)'!$B$18:$M$29,9),(IF(J167="1",VLOOKUP(N167,'K% (Rede Convencional)'!$B$18:$M$29,10),(IF(J167="13",VLOOKUP(N167,'K% (Rede Convencional)'!$B$18:$M$29,11),(IF(J167="12",VLOOKUP(N167,'K% (Rede Convencional)'!$B$18:$M$29,12),0))))))))))</f>
        <v/>
      </c>
      <c r="M167" s="267" t="str">
        <f t="shared" si="53"/>
        <v/>
      </c>
      <c r="N167" s="267" t="str">
        <f>IF(K167="","",IF(K167="4 (4)","a",IF(OR(K167="2 (4)",K167="2 (2)"),VLOOKUP(K167,BT!$AE$21:$AF$22,2,FALSE),IF(OR(K167="1/0 (4)",K167="1/0 (2)"),VLOOKUP(K167,BT!$AE$24:$AF$25,2,FALSE),IF(OR(K167="4/0 (4)",K167="4/0 (2)",K167="4/0 (1/0)"),VLOOKUP(K167,BT!$AE$27:$AF$29,2,FALSE),IF(OR(K167="336,4 (4)",K167="336,4 (2)",K167="336,4 (1/0)",K167="336,4 (4/0)"),VLOOKUP(K167,BT!$AE$31:$AF$34,2,FALSE),0))))))</f>
        <v/>
      </c>
      <c r="O167" s="38"/>
      <c r="P167" s="268" t="str">
        <f t="shared" si="54"/>
        <v/>
      </c>
      <c r="Q167" s="268" t="str">
        <f>IF(P167="","",SUM($P$45:P167)+$W$115)</f>
        <v/>
      </c>
      <c r="R167" s="268" t="str">
        <f t="shared" si="55"/>
        <v/>
      </c>
      <c r="S167" s="269" t="str">
        <f>IF(OR(M167="a",N167="a"),VLOOKUP("a",'Características dos Cabos'!$D$25:$L$29,9),IF(OR(M167="b",M167="c",N167="b",N167="c"),VLOOKUP("b",'Características dos Cabos'!$D$25:$L$29,9),IF(OR(M167="d",M167="e",N167="d",N167="e"),VLOOKUP("c",'Características dos Cabos'!$D$25:$L$29,9),IF(OR(M167="f",M167="g",M167="h",N167="f",N167="g",N167="h"),VLOOKUP("d",'Características dos Cabos'!$D$25:$L$29,9),IF(OR(M167="i",M167="j",M167="l",M167="m",N167="i",N167="j",N167="l",N167="m"),VLOOKUP("e",'Características dos Cabos'!$D$25:$L$29,9),"")))))</f>
        <v/>
      </c>
      <c r="T167" s="268" t="str">
        <f t="shared" si="56"/>
        <v/>
      </c>
      <c r="U167" s="269" t="str">
        <f>IF(OR(M167="a",N167="a"),VLOOKUP("a",'Características dos Cabos'!$D$25:$L$29,3),IF(OR(M167="b",M167="c",N167="b",N167="c"),VLOOKUP("b",'Características dos Cabos'!$D$25:$L$29,3),IF(OR(M167="d",M167="e",N167="d",N167="e"),VLOOKUP("c",'Características dos Cabos'!$D$25:$L$29,3),IF(OR(M167="f",M167="g",M167="h",N167="f",N167="g",N167="h"),VLOOKUP("d",'Características dos Cabos'!$D$25:$L$29,3),IF(OR(M167="i",M167="j",M167="l",M167="m",N167="i",N167="j",N167="l",N167="m"),VLOOKUP("e",'Características dos Cabos'!$D$25:$L$29,3),"")))))</f>
        <v/>
      </c>
      <c r="V167" s="270" t="str">
        <f t="shared" si="57"/>
        <v/>
      </c>
      <c r="W167" s="243"/>
      <c r="X167" s="257">
        <f t="shared" si="58"/>
        <v>0</v>
      </c>
      <c r="Y167" s="257">
        <f t="shared" si="59"/>
        <v>0</v>
      </c>
      <c r="Z167" s="243"/>
    </row>
    <row r="168" spans="1:26" ht="15" customHeight="1">
      <c r="A168" s="639"/>
      <c r="B168" s="642"/>
      <c r="C168" s="27"/>
      <c r="D168" s="23"/>
      <c r="E168" s="38"/>
      <c r="F168" s="92" t="str">
        <f t="shared" si="45"/>
        <v/>
      </c>
      <c r="G168" s="38"/>
      <c r="H168" s="265" t="str">
        <f>IF(AND(E168="",G168=""),"",SUM(F168:G174))</f>
        <v/>
      </c>
      <c r="J168" s="23"/>
      <c r="K168" s="23"/>
      <c r="L168" s="266" t="str">
        <f>IF(OR(J168="",K168=""),"",IF(J168="3",VLOOKUP(M168,'K% (Rede Convencional)'!$B$18:$M$29,8),(IF(J168="2",VLOOKUP(N168,'K% (Rede Convencional)'!$B$18:$M$29,9),(IF(J168="1",VLOOKUP(N168,'K% (Rede Convencional)'!$B$18:$M$29,10),(IF(J168="13",VLOOKUP(N168,'K% (Rede Convencional)'!$B$18:$M$29,11),(IF(J168="12",VLOOKUP(N168,'K% (Rede Convencional)'!$B$18:$M$29,12),0))))))))))</f>
        <v/>
      </c>
      <c r="M168" s="267" t="str">
        <f t="shared" si="53"/>
        <v/>
      </c>
      <c r="N168" s="267" t="str">
        <f>IF(K168="","",IF(K168="4 (4)","a",IF(OR(K168="2 (4)",K168="2 (2)"),VLOOKUP(K168,BT!$AE$21:$AF$22,2,FALSE),IF(OR(K168="1/0 (4)",K168="1/0 (2)"),VLOOKUP(K168,BT!$AE$24:$AF$25,2,FALSE),IF(OR(K168="4/0 (4)",K168="4/0 (2)",K168="4/0 (1/0)"),VLOOKUP(K168,BT!$AE$27:$AF$29,2,FALSE),IF(OR(K168="336,4 (4)",K168="336,4 (2)",K168="336,4 (1/0)",K168="336,4 (4/0)"),VLOOKUP(K168,BT!$AE$31:$AF$34,2,FALSE),0))))))</f>
        <v/>
      </c>
      <c r="O168" s="38"/>
      <c r="P168" s="268" t="str">
        <f t="shared" si="54"/>
        <v/>
      </c>
      <c r="Q168" s="268" t="str">
        <f>IF(P168="","",SUM($P$45:P168)+$W$115)</f>
        <v/>
      </c>
      <c r="R168" s="268" t="str">
        <f t="shared" si="55"/>
        <v/>
      </c>
      <c r="S168" s="269" t="str">
        <f>IF(OR(M168="a",N168="a"),VLOOKUP("a",'Características dos Cabos'!$D$25:$L$29,9),IF(OR(M168="b",M168="c",N168="b",N168="c"),VLOOKUP("b",'Características dos Cabos'!$D$25:$L$29,9),IF(OR(M168="d",M168="e",N168="d",N168="e"),VLOOKUP("c",'Características dos Cabos'!$D$25:$L$29,9),IF(OR(M168="f",M168="g",M168="h",N168="f",N168="g",N168="h"),VLOOKUP("d",'Características dos Cabos'!$D$25:$L$29,9),IF(OR(M168="i",M168="j",M168="l",M168="m",N168="i",N168="j",N168="l",N168="m"),VLOOKUP("e",'Características dos Cabos'!$D$25:$L$29,9),"")))))</f>
        <v/>
      </c>
      <c r="T168" s="268" t="str">
        <f t="shared" si="56"/>
        <v/>
      </c>
      <c r="U168" s="269" t="str">
        <f>IF(OR(M168="a",N168="a"),VLOOKUP("a",'Características dos Cabos'!$D$25:$L$29,3),IF(OR(M168="b",M168="c",N168="b",N168="c"),VLOOKUP("b",'Características dos Cabos'!$D$25:$L$29,3),IF(OR(M168="d",M168="e",N168="d",N168="e"),VLOOKUP("c",'Características dos Cabos'!$D$25:$L$29,3),IF(OR(M168="f",M168="g",M168="h",N168="f",N168="g",N168="h"),VLOOKUP("d",'Características dos Cabos'!$D$25:$L$29,3),IF(OR(M168="i",M168="j",M168="l",M168="m",N168="i",N168="j",N168="l",N168="m"),VLOOKUP("e",'Características dos Cabos'!$D$25:$L$29,3),"")))))</f>
        <v/>
      </c>
      <c r="V168" s="270" t="str">
        <f t="shared" si="57"/>
        <v/>
      </c>
      <c r="W168" s="243"/>
      <c r="X168" s="257">
        <f t="shared" si="58"/>
        <v>0</v>
      </c>
      <c r="Y168" s="257">
        <f t="shared" si="59"/>
        <v>0</v>
      </c>
      <c r="Z168" s="243"/>
    </row>
    <row r="169" spans="1:26" ht="15" customHeight="1">
      <c r="A169" s="639"/>
      <c r="B169" s="642"/>
      <c r="C169" s="27"/>
      <c r="D169" s="23"/>
      <c r="E169" s="38"/>
      <c r="F169" s="92" t="str">
        <f t="shared" si="45"/>
        <v/>
      </c>
      <c r="G169" s="38"/>
      <c r="H169" s="265" t="str">
        <f>IF(AND(E169="",G169=""),"",SUM(F169:G174))</f>
        <v/>
      </c>
      <c r="J169" s="23"/>
      <c r="K169" s="23"/>
      <c r="L169" s="266" t="str">
        <f>IF(OR(J169="",K169=""),"",IF(J169="3",VLOOKUP(M169,'K% (Rede Convencional)'!$B$18:$M$29,8),(IF(J169="2",VLOOKUP(N169,'K% (Rede Convencional)'!$B$18:$M$29,9),(IF(J169="1",VLOOKUP(N169,'K% (Rede Convencional)'!$B$18:$M$29,10),(IF(J169="13",VLOOKUP(N169,'K% (Rede Convencional)'!$B$18:$M$29,11),(IF(J169="12",VLOOKUP(N169,'K% (Rede Convencional)'!$B$18:$M$29,12),0))))))))))</f>
        <v/>
      </c>
      <c r="M169" s="267" t="str">
        <f t="shared" si="53"/>
        <v/>
      </c>
      <c r="N169" s="267" t="str">
        <f>IF(K169="","",IF(K169="4 (4)","a",IF(OR(K169="2 (4)",K169="2 (2)"),VLOOKUP(K169,BT!$AE$21:$AF$22,2,FALSE),IF(OR(K169="1/0 (4)",K169="1/0 (2)"),VLOOKUP(K169,BT!$AE$24:$AF$25,2,FALSE),IF(OR(K169="4/0 (4)",K169="4/0 (2)",K169="4/0 (1/0)"),VLOOKUP(K169,BT!$AE$27:$AF$29,2,FALSE),IF(OR(K169="336,4 (4)",K169="336,4 (2)",K169="336,4 (1/0)",K169="336,4 (4/0)"),VLOOKUP(K169,BT!$AE$31:$AF$34,2,FALSE),0))))))</f>
        <v/>
      </c>
      <c r="O169" s="38"/>
      <c r="P169" s="268" t="str">
        <f t="shared" si="54"/>
        <v/>
      </c>
      <c r="Q169" s="268" t="str">
        <f>IF(P169="","",SUM($P$45:P169)+$W$115)</f>
        <v/>
      </c>
      <c r="R169" s="268" t="str">
        <f t="shared" si="55"/>
        <v/>
      </c>
      <c r="S169" s="269" t="str">
        <f>IF(OR(M169="a",N169="a"),VLOOKUP("a",'Características dos Cabos'!$D$25:$L$29,9),IF(OR(M169="b",M169="c",N169="b",N169="c"),VLOOKUP("b",'Características dos Cabos'!$D$25:$L$29,9),IF(OR(M169="d",M169="e",N169="d",N169="e"),VLOOKUP("c",'Características dos Cabos'!$D$25:$L$29,9),IF(OR(M169="f",M169="g",M169="h",N169="f",N169="g",N169="h"),VLOOKUP("d",'Características dos Cabos'!$D$25:$L$29,9),IF(OR(M169="i",M169="j",M169="l",M169="m",N169="i",N169="j",N169="l",N169="m"),VLOOKUP("e",'Características dos Cabos'!$D$25:$L$29,9),"")))))</f>
        <v/>
      </c>
      <c r="T169" s="268" t="str">
        <f t="shared" si="56"/>
        <v/>
      </c>
      <c r="U169" s="269" t="str">
        <f>IF(OR(M169="a",N169="a"),VLOOKUP("a",'Características dos Cabos'!$D$25:$L$29,3),IF(OR(M169="b",M169="c",N169="b",N169="c"),VLOOKUP("b",'Características dos Cabos'!$D$25:$L$29,3),IF(OR(M169="d",M169="e",N169="d",N169="e"),VLOOKUP("c",'Características dos Cabos'!$D$25:$L$29,3),IF(OR(M169="f",M169="g",M169="h",N169="f",N169="g",N169="h"),VLOOKUP("d",'Características dos Cabos'!$D$25:$L$29,3),IF(OR(M169="i",M169="j",M169="l",M169="m",N169="i",N169="j",N169="l",N169="m"),VLOOKUP("e",'Características dos Cabos'!$D$25:$L$29,3),"")))))</f>
        <v/>
      </c>
      <c r="V169" s="270" t="str">
        <f t="shared" si="57"/>
        <v/>
      </c>
      <c r="W169" s="243"/>
      <c r="X169" s="257">
        <f t="shared" si="58"/>
        <v>0</v>
      </c>
      <c r="Y169" s="257">
        <f t="shared" si="59"/>
        <v>0</v>
      </c>
      <c r="Z169" s="243"/>
    </row>
    <row r="170" spans="1:26" ht="15" customHeight="1">
      <c r="A170" s="639"/>
      <c r="B170" s="642"/>
      <c r="C170" s="27"/>
      <c r="D170" s="23"/>
      <c r="E170" s="38"/>
      <c r="F170" s="92" t="str">
        <f t="shared" si="45"/>
        <v/>
      </c>
      <c r="G170" s="38"/>
      <c r="H170" s="265" t="str">
        <f>IF(AND(E170="",G170=""),"",SUM(F170:G174))</f>
        <v/>
      </c>
      <c r="J170" s="23"/>
      <c r="K170" s="23"/>
      <c r="L170" s="266" t="str">
        <f>IF(OR(J170="",K170=""),"",IF(J170="3",VLOOKUP(M170,'K% (Rede Convencional)'!$B$18:$M$29,8),(IF(J170="2",VLOOKUP(N170,'K% (Rede Convencional)'!$B$18:$M$29,9),(IF(J170="1",VLOOKUP(N170,'K% (Rede Convencional)'!$B$18:$M$29,10),(IF(J170="13",VLOOKUP(N170,'K% (Rede Convencional)'!$B$18:$M$29,11),(IF(J170="12",VLOOKUP(N170,'K% (Rede Convencional)'!$B$18:$M$29,12),0))))))))))</f>
        <v/>
      </c>
      <c r="M170" s="267" t="str">
        <f t="shared" si="53"/>
        <v/>
      </c>
      <c r="N170" s="267" t="str">
        <f>IF(K170="","",IF(K170="4 (4)","a",IF(OR(K170="2 (4)",K170="2 (2)"),VLOOKUP(K170,BT!$AE$21:$AF$22,2,FALSE),IF(OR(K170="1/0 (4)",K170="1/0 (2)"),VLOOKUP(K170,BT!$AE$24:$AF$25,2,FALSE),IF(OR(K170="4/0 (4)",K170="4/0 (2)",K170="4/0 (1/0)"),VLOOKUP(K170,BT!$AE$27:$AF$29,2,FALSE),IF(OR(K170="336,4 (4)",K170="336,4 (2)",K170="336,4 (1/0)",K170="336,4 (4/0)"),VLOOKUP(K170,BT!$AE$31:$AF$34,2,FALSE),0))))))</f>
        <v/>
      </c>
      <c r="O170" s="38"/>
      <c r="P170" s="268" t="str">
        <f t="shared" si="54"/>
        <v/>
      </c>
      <c r="Q170" s="268" t="str">
        <f>IF(P170="","",SUM($P$45:P170)+$W$115)</f>
        <v/>
      </c>
      <c r="R170" s="268" t="str">
        <f t="shared" si="55"/>
        <v/>
      </c>
      <c r="S170" s="269" t="str">
        <f>IF(OR(M170="a",N170="a"),VLOOKUP("a",'Características dos Cabos'!$D$25:$L$29,9),IF(OR(M170="b",M170="c",N170="b",N170="c"),VLOOKUP("b",'Características dos Cabos'!$D$25:$L$29,9),IF(OR(M170="d",M170="e",N170="d",N170="e"),VLOOKUP("c",'Características dos Cabos'!$D$25:$L$29,9),IF(OR(M170="f",M170="g",M170="h",N170="f",N170="g",N170="h"),VLOOKUP("d",'Características dos Cabos'!$D$25:$L$29,9),IF(OR(M170="i",M170="j",M170="l",M170="m",N170="i",N170="j",N170="l",N170="m"),VLOOKUP("e",'Características dos Cabos'!$D$25:$L$29,9),"")))))</f>
        <v/>
      </c>
      <c r="T170" s="268" t="str">
        <f t="shared" si="56"/>
        <v/>
      </c>
      <c r="U170" s="269" t="str">
        <f>IF(OR(M170="a",N170="a"),VLOOKUP("a",'Características dos Cabos'!$D$25:$L$29,3),IF(OR(M170="b",M170="c",N170="b",N170="c"),VLOOKUP("b",'Características dos Cabos'!$D$25:$L$29,3),IF(OR(M170="d",M170="e",N170="d",N170="e"),VLOOKUP("c",'Características dos Cabos'!$D$25:$L$29,3),IF(OR(M170="f",M170="g",M170="h",N170="f",N170="g",N170="h"),VLOOKUP("d",'Características dos Cabos'!$D$25:$L$29,3),IF(OR(M170="i",M170="j",M170="l",M170="m",N170="i",N170="j",N170="l",N170="m"),VLOOKUP("e",'Características dos Cabos'!$D$25:$L$29,3),"")))))</f>
        <v/>
      </c>
      <c r="V170" s="270" t="str">
        <f t="shared" si="57"/>
        <v/>
      </c>
      <c r="W170" s="243"/>
      <c r="X170" s="257">
        <f t="shared" si="58"/>
        <v>0</v>
      </c>
      <c r="Y170" s="257">
        <f t="shared" si="59"/>
        <v>0</v>
      </c>
      <c r="Z170" s="243"/>
    </row>
    <row r="171" spans="1:26" ht="15" customHeight="1">
      <c r="A171" s="639"/>
      <c r="B171" s="642"/>
      <c r="C171" s="27"/>
      <c r="D171" s="23"/>
      <c r="E171" s="38"/>
      <c r="F171" s="92" t="str">
        <f t="shared" si="45"/>
        <v/>
      </c>
      <c r="G171" s="38"/>
      <c r="H171" s="265" t="str">
        <f>IF(AND(E171="",G171=""),"",SUM(F171:G174))</f>
        <v/>
      </c>
      <c r="J171" s="23"/>
      <c r="K171" s="23"/>
      <c r="L171" s="266" t="str">
        <f>IF(OR(J171="",K171=""),"",IF(J171="3",VLOOKUP(M171,'K% (Rede Convencional)'!$B$18:$M$29,8),(IF(J171="2",VLOOKUP(N171,'K% (Rede Convencional)'!$B$18:$M$29,9),(IF(J171="1",VLOOKUP(N171,'K% (Rede Convencional)'!$B$18:$M$29,10),(IF(J171="13",VLOOKUP(N171,'K% (Rede Convencional)'!$B$18:$M$29,11),(IF(J171="12",VLOOKUP(N171,'K% (Rede Convencional)'!$B$18:$M$29,12),0))))))))))</f>
        <v/>
      </c>
      <c r="M171" s="267" t="str">
        <f t="shared" si="53"/>
        <v/>
      </c>
      <c r="N171" s="267" t="str">
        <f>IF(K171="","",IF(K171="4 (4)","a",IF(OR(K171="2 (4)",K171="2 (2)"),VLOOKUP(K171,BT!$AE$21:$AF$22,2,FALSE),IF(OR(K171="1/0 (4)",K171="1/0 (2)"),VLOOKUP(K171,BT!$AE$24:$AF$25,2,FALSE),IF(OR(K171="4/0 (4)",K171="4/0 (2)",K171="4/0 (1/0)"),VLOOKUP(K171,BT!$AE$27:$AF$29,2,FALSE),IF(OR(K171="336,4 (4)",K171="336,4 (2)",K171="336,4 (1/0)",K171="336,4 (4/0)"),VLOOKUP(K171,BT!$AE$31:$AF$34,2,FALSE),0))))))</f>
        <v/>
      </c>
      <c r="O171" s="38"/>
      <c r="P171" s="268" t="str">
        <f t="shared" si="54"/>
        <v/>
      </c>
      <c r="Q171" s="268" t="str">
        <f>IF(P171="","",SUM($P$45:P171)+$W$115)</f>
        <v/>
      </c>
      <c r="R171" s="268" t="str">
        <f t="shared" si="55"/>
        <v/>
      </c>
      <c r="S171" s="269" t="str">
        <f>IF(OR(M171="a",N171="a"),VLOOKUP("a",'Características dos Cabos'!$D$25:$L$29,9),IF(OR(M171="b",M171="c",N171="b",N171="c"),VLOOKUP("b",'Características dos Cabos'!$D$25:$L$29,9),IF(OR(M171="d",M171="e",N171="d",N171="e"),VLOOKUP("c",'Características dos Cabos'!$D$25:$L$29,9),IF(OR(M171="f",M171="g",M171="h",N171="f",N171="g",N171="h"),VLOOKUP("d",'Características dos Cabos'!$D$25:$L$29,9),IF(OR(M171="i",M171="j",M171="l",M171="m",N171="i",N171="j",N171="l",N171="m"),VLOOKUP("e",'Características dos Cabos'!$D$25:$L$29,9),"")))))</f>
        <v/>
      </c>
      <c r="T171" s="268" t="str">
        <f t="shared" si="56"/>
        <v/>
      </c>
      <c r="U171" s="269" t="str">
        <f>IF(OR(M171="a",N171="a"),VLOOKUP("a",'Características dos Cabos'!$D$25:$L$29,3),IF(OR(M171="b",M171="c",N171="b",N171="c"),VLOOKUP("b",'Características dos Cabos'!$D$25:$L$29,3),IF(OR(M171="d",M171="e",N171="d",N171="e"),VLOOKUP("c",'Características dos Cabos'!$D$25:$L$29,3),IF(OR(M171="f",M171="g",M171="h",N171="f",N171="g",N171="h"),VLOOKUP("d",'Características dos Cabos'!$D$25:$L$29,3),IF(OR(M171="i",M171="j",M171="l",M171="m",N171="i",N171="j",N171="l",N171="m"),VLOOKUP("e",'Características dos Cabos'!$D$25:$L$29,3),"")))))</f>
        <v/>
      </c>
      <c r="V171" s="270" t="str">
        <f t="shared" si="57"/>
        <v/>
      </c>
      <c r="W171" s="243"/>
      <c r="X171" s="257">
        <f t="shared" si="58"/>
        <v>0</v>
      </c>
      <c r="Y171" s="257">
        <f t="shared" si="59"/>
        <v>0</v>
      </c>
      <c r="Z171" s="243"/>
    </row>
    <row r="172" spans="1:26" ht="15" customHeight="1">
      <c r="A172" s="639"/>
      <c r="B172" s="642"/>
      <c r="C172" s="27"/>
      <c r="D172" s="23"/>
      <c r="E172" s="38"/>
      <c r="F172" s="92" t="str">
        <f t="shared" si="45"/>
        <v/>
      </c>
      <c r="G172" s="38"/>
      <c r="H172" s="265" t="str">
        <f>IF(AND(E172="",G172=""),"",SUM(F172:G174))</f>
        <v/>
      </c>
      <c r="J172" s="23"/>
      <c r="K172" s="23"/>
      <c r="L172" s="266" t="str">
        <f>IF(OR(J172="",K172=""),"",IF(J172="3",VLOOKUP(M172,'K% (Rede Convencional)'!$B$18:$M$29,8),(IF(J172="2",VLOOKUP(N172,'K% (Rede Convencional)'!$B$18:$M$29,9),(IF(J172="1",VLOOKUP(N172,'K% (Rede Convencional)'!$B$18:$M$29,10),(IF(J172="13",VLOOKUP(N172,'K% (Rede Convencional)'!$B$18:$M$29,11),(IF(J172="12",VLOOKUP(N172,'K% (Rede Convencional)'!$B$18:$M$29,12),0))))))))))</f>
        <v/>
      </c>
      <c r="M172" s="267" t="str">
        <f t="shared" si="53"/>
        <v/>
      </c>
      <c r="N172" s="267" t="str">
        <f>IF(K172="","",IF(K172="4 (4)","a",IF(OR(K172="2 (4)",K172="2 (2)"),VLOOKUP(K172,BT!$AE$21:$AF$22,2,FALSE),IF(OR(K172="1/0 (4)",K172="1/0 (2)"),VLOOKUP(K172,BT!$AE$24:$AF$25,2,FALSE),IF(OR(K172="4/0 (4)",K172="4/0 (2)",K172="4/0 (1/0)"),VLOOKUP(K172,BT!$AE$27:$AF$29,2,FALSE),IF(OR(K172="336,4 (4)",K172="336,4 (2)",K172="336,4 (1/0)",K172="336,4 (4/0)"),VLOOKUP(K172,BT!$AE$31:$AF$34,2,FALSE),0))))))</f>
        <v/>
      </c>
      <c r="O172" s="38"/>
      <c r="P172" s="268" t="str">
        <f t="shared" si="54"/>
        <v/>
      </c>
      <c r="Q172" s="268" t="str">
        <f>IF(P172="","",SUM($P$45:P172)+$W$115)</f>
        <v/>
      </c>
      <c r="R172" s="268" t="str">
        <f t="shared" si="55"/>
        <v/>
      </c>
      <c r="S172" s="269" t="str">
        <f>IF(OR(M172="a",N172="a"),VLOOKUP("a",'Características dos Cabos'!$D$25:$L$29,9),IF(OR(M172="b",M172="c",N172="b",N172="c"),VLOOKUP("b",'Características dos Cabos'!$D$25:$L$29,9),IF(OR(M172="d",M172="e",N172="d",N172="e"),VLOOKUP("c",'Características dos Cabos'!$D$25:$L$29,9),IF(OR(M172="f",M172="g",M172="h",N172="f",N172="g",N172="h"),VLOOKUP("d",'Características dos Cabos'!$D$25:$L$29,9),IF(OR(M172="i",M172="j",M172="l",M172="m",N172="i",N172="j",N172="l",N172="m"),VLOOKUP("e",'Características dos Cabos'!$D$25:$L$29,9),"")))))</f>
        <v/>
      </c>
      <c r="T172" s="268" t="str">
        <f t="shared" si="56"/>
        <v/>
      </c>
      <c r="U172" s="269" t="str">
        <f>IF(OR(M172="a",N172="a"),VLOOKUP("a",'Características dos Cabos'!$D$25:$L$29,3),IF(OR(M172="b",M172="c",N172="b",N172="c"),VLOOKUP("b",'Características dos Cabos'!$D$25:$L$29,3),IF(OR(M172="d",M172="e",N172="d",N172="e"),VLOOKUP("c",'Características dos Cabos'!$D$25:$L$29,3),IF(OR(M172="f",M172="g",M172="h",N172="f",N172="g",N172="h"),VLOOKUP("d",'Características dos Cabos'!$D$25:$L$29,3),IF(OR(M172="i",M172="j",M172="l",M172="m",N172="i",N172="j",N172="l",N172="m"),VLOOKUP("e",'Características dos Cabos'!$D$25:$L$29,3),"")))))</f>
        <v/>
      </c>
      <c r="V172" s="270" t="str">
        <f t="shared" si="57"/>
        <v/>
      </c>
      <c r="W172" s="243"/>
      <c r="X172" s="257">
        <f t="shared" si="58"/>
        <v>0</v>
      </c>
      <c r="Y172" s="257">
        <f t="shared" si="59"/>
        <v>0</v>
      </c>
      <c r="Z172" s="243"/>
    </row>
    <row r="173" spans="1:26" ht="15" customHeight="1">
      <c r="A173" s="639"/>
      <c r="B173" s="642"/>
      <c r="C173" s="27"/>
      <c r="D173" s="23"/>
      <c r="E173" s="38"/>
      <c r="F173" s="92" t="str">
        <f t="shared" si="45"/>
        <v/>
      </c>
      <c r="G173" s="38"/>
      <c r="H173" s="265" t="str">
        <f>IF(AND(E173="",G173=""),"",SUM(F173:G174))</f>
        <v/>
      </c>
      <c r="J173" s="23"/>
      <c r="K173" s="23"/>
      <c r="L173" s="266" t="str">
        <f>IF(OR(J173="",K173=""),"",IF(J173="3",VLOOKUP(M173,'K% (Rede Convencional)'!$B$18:$M$29,8),(IF(J173="2",VLOOKUP(N173,'K% (Rede Convencional)'!$B$18:$M$29,9),(IF(J173="1",VLOOKUP(N173,'K% (Rede Convencional)'!$B$18:$M$29,10),(IF(J173="13",VLOOKUP(N173,'K% (Rede Convencional)'!$B$18:$M$29,11),(IF(J173="12",VLOOKUP(N173,'K% (Rede Convencional)'!$B$18:$M$29,12),0))))))))))</f>
        <v/>
      </c>
      <c r="M173" s="267" t="str">
        <f t="shared" si="53"/>
        <v/>
      </c>
      <c r="N173" s="267" t="str">
        <f>IF(K173="","",IF(K173="4 (4)","a",IF(OR(K173="2 (4)",K173="2 (2)"),VLOOKUP(K173,BT!$AE$21:$AF$22,2,FALSE),IF(OR(K173="1/0 (4)",K173="1/0 (2)"),VLOOKUP(K173,BT!$AE$24:$AF$25,2,FALSE),IF(OR(K173="4/0 (4)",K173="4/0 (2)",K173="4/0 (1/0)"),VLOOKUP(K173,BT!$AE$27:$AF$29,2,FALSE),IF(OR(K173="336,4 (4)",K173="336,4 (2)",K173="336,4 (1/0)",K173="336,4 (4/0)"),VLOOKUP(K173,BT!$AE$31:$AF$34,2,FALSE),0))))))</f>
        <v/>
      </c>
      <c r="O173" s="38"/>
      <c r="P173" s="268" t="str">
        <f t="shared" si="54"/>
        <v/>
      </c>
      <c r="Q173" s="268" t="str">
        <f>IF(P173="","",SUM($P$45:P173)+$W$115)</f>
        <v/>
      </c>
      <c r="R173" s="268" t="str">
        <f t="shared" si="55"/>
        <v/>
      </c>
      <c r="S173" s="269" t="str">
        <f>IF(OR(M173="a",N173="a"),VLOOKUP("a",'Características dos Cabos'!$D$25:$L$29,9),IF(OR(M173="b",M173="c",N173="b",N173="c"),VLOOKUP("b",'Características dos Cabos'!$D$25:$L$29,9),IF(OR(M173="d",M173="e",N173="d",N173="e"),VLOOKUP("c",'Características dos Cabos'!$D$25:$L$29,9),IF(OR(M173="f",M173="g",M173="h",N173="f",N173="g",N173="h"),VLOOKUP("d",'Características dos Cabos'!$D$25:$L$29,9),IF(OR(M173="i",M173="j",M173="l",M173="m",N173="i",N173="j",N173="l",N173="m"),VLOOKUP("e",'Características dos Cabos'!$D$25:$L$29,9),"")))))</f>
        <v/>
      </c>
      <c r="T173" s="268" t="str">
        <f t="shared" si="56"/>
        <v/>
      </c>
      <c r="U173" s="269" t="str">
        <f>IF(OR(M173="a",N173="a"),VLOOKUP("a",'Características dos Cabos'!$D$25:$L$29,3),IF(OR(M173="b",M173="c",N173="b",N173="c"),VLOOKUP("b",'Características dos Cabos'!$D$25:$L$29,3),IF(OR(M173="d",M173="e",N173="d",N173="e"),VLOOKUP("c",'Características dos Cabos'!$D$25:$L$29,3),IF(OR(M173="f",M173="g",M173="h",N173="f",N173="g",N173="h"),VLOOKUP("d",'Características dos Cabos'!$D$25:$L$29,3),IF(OR(M173="i",M173="j",M173="l",M173="m",N173="i",N173="j",N173="l",N173="m"),VLOOKUP("e",'Características dos Cabos'!$D$25:$L$29,3),"")))))</f>
        <v/>
      </c>
      <c r="V173" s="270" t="str">
        <f t="shared" si="57"/>
        <v/>
      </c>
      <c r="W173" s="243"/>
      <c r="X173" s="257">
        <f t="shared" si="58"/>
        <v>0</v>
      </c>
      <c r="Y173" s="257">
        <f t="shared" si="59"/>
        <v>0</v>
      </c>
      <c r="Z173" s="243"/>
    </row>
    <row r="174" spans="1:26" ht="15" customHeight="1" thickBot="1">
      <c r="A174" s="639"/>
      <c r="B174" s="643"/>
      <c r="C174" s="28"/>
      <c r="D174" s="24"/>
      <c r="E174" s="39"/>
      <c r="F174" s="54" t="str">
        <f t="shared" si="45"/>
        <v/>
      </c>
      <c r="G174" s="39"/>
      <c r="H174" s="286" t="str">
        <f>IF(AND(E174="",G174=""),"",SUM(F174:G174))</f>
        <v/>
      </c>
      <c r="J174" s="24"/>
      <c r="K174" s="24"/>
      <c r="L174" s="287" t="str">
        <f>IF(OR(J174="",K174=""),"",IF(J174="3",VLOOKUP(M174,'K% (Rede Convencional)'!$B$18:$M$29,8),(IF(J174="2",VLOOKUP(N174,'K% (Rede Convencional)'!$B$18:$M$29,9),(IF(J174="1",VLOOKUP(N174,'K% (Rede Convencional)'!$B$18:$M$29,10),(IF(J174="13",VLOOKUP(N174,'K% (Rede Convencional)'!$B$18:$M$29,11),(IF(J174="12",VLOOKUP(N174,'K% (Rede Convencional)'!$B$18:$M$29,12),0))))))))))</f>
        <v/>
      </c>
      <c r="M174" s="288" t="str">
        <f t="shared" si="53"/>
        <v/>
      </c>
      <c r="N174" s="288" t="str">
        <f>IF(K174="","",IF(K174="4 (4)","a",IF(OR(K174="2 (4)",K174="2 (2)"),VLOOKUP(K174,BT!$AE$21:$AF$22,2,FALSE),IF(OR(K174="1/0 (4)",K174="1/0 (2)"),VLOOKUP(K174,BT!$AE$24:$AF$25,2,FALSE),IF(OR(K174="4/0 (4)",K174="4/0 (2)",K174="4/0 (1/0)"),VLOOKUP(K174,BT!$AE$27:$AF$29,2,FALSE),IF(OR(K174="336,4 (4)",K174="336,4 (2)",K174="336,4 (1/0)",K174="336,4 (4/0)"),VLOOKUP(K174,BT!$AE$31:$AF$34,2,FALSE),0))))))</f>
        <v/>
      </c>
      <c r="O174" s="39"/>
      <c r="P174" s="289" t="str">
        <f t="shared" si="54"/>
        <v/>
      </c>
      <c r="Q174" s="289" t="str">
        <f>IF(P174="","",SUM($P$45:P174)+$W$115)</f>
        <v/>
      </c>
      <c r="R174" s="289" t="str">
        <f t="shared" si="55"/>
        <v/>
      </c>
      <c r="S174" s="290" t="str">
        <f>IF(N174="a",VLOOKUP("a",#REF!,9),IF(OR(N174="b",N174="c"),VLOOKUP("b",#REF!,9),IF(OR(N174="d",N174="e"),VLOOKUP("c",#REF!,9),IF(OR(N174="f",N174="g",N174="h"),VLOOKUP("d",#REF!,9),IF(OR(N174="i",N174="j",N174="l",N174="m"),VLOOKUP("e",#REF!,9),"")))))</f>
        <v/>
      </c>
      <c r="T174" s="289" t="str">
        <f t="shared" si="56"/>
        <v/>
      </c>
      <c r="U174" s="290" t="str">
        <f>IF(OR(M174="a",N174="a"),VLOOKUP("a",'Características dos Cabos'!$D$25:$L$29,3),IF(OR(M174="b",M174="c",N174="b",N174="c"),VLOOKUP("b",'Características dos Cabos'!$D$25:$L$29,3),IF(OR(M174="d",M174="e",N174="d",N174="e"),VLOOKUP("c",'Características dos Cabos'!$D$25:$L$29,3),IF(OR(M174="f",M174="g",M174="h",N174="f",N174="g",N174="h"),VLOOKUP("d",'Características dos Cabos'!$D$25:$L$29,3),IF(OR(M174="i",M174="j",M174="l",M174="m",N174="i",N174="j",N174="l",N174="m"),VLOOKUP("e",'Características dos Cabos'!$D$25:$L$29,3),"")))))</f>
        <v/>
      </c>
      <c r="V174" s="291" t="str">
        <f t="shared" si="57"/>
        <v/>
      </c>
      <c r="W174" s="243"/>
      <c r="X174" s="257">
        <f t="shared" si="58"/>
        <v>0</v>
      </c>
      <c r="Y174" s="257">
        <f t="shared" si="59"/>
        <v>0</v>
      </c>
      <c r="Z174" s="243"/>
    </row>
    <row r="175" spans="1:26" ht="15" customHeight="1" thickTop="1">
      <c r="A175" s="639"/>
      <c r="B175" s="641" t="str">
        <f>CONCATENATE("Ramal 14 - Derivando no ponto ",C175)</f>
        <v xml:space="preserve">Ramal 14 - Derivando no ponto </v>
      </c>
      <c r="C175" s="26"/>
      <c r="D175" s="25"/>
      <c r="E175" s="37"/>
      <c r="F175" s="92" t="str">
        <f t="shared" si="45"/>
        <v/>
      </c>
      <c r="G175" s="37"/>
      <c r="H175" s="278" t="str">
        <f>IF(AND(E175="",G175=""),"",SUM(F175:G184))</f>
        <v/>
      </c>
      <c r="J175" s="25"/>
      <c r="K175" s="25"/>
      <c r="L175" s="279" t="str">
        <f>IF(OR(J175="",K175=""),"",IF(J175="3",VLOOKUP(M175,'K% (Rede Convencional)'!$B$18:$M$29,8),(IF(J175="2",VLOOKUP(N175,'K% (Rede Convencional)'!$B$18:$M$29,9),(IF(J175="1",VLOOKUP(N175,'K% (Rede Convencional)'!$B$18:$M$29,10),(IF(J175="13",VLOOKUP(N175,'K% (Rede Convencional)'!$B$18:$M$29,11),(IF(J175="12",VLOOKUP(N175,'K% (Rede Convencional)'!$B$18:$M$29,12),0))))))))))</f>
        <v/>
      </c>
      <c r="M175" s="253" t="str">
        <f t="shared" si="60" ref="M175:M184">IF(K175="4","a",IF(K175="2","b",IF(K175="1/0","d",IF(K175="4/0","f",IF(K175="336,4","i","")))))</f>
        <v/>
      </c>
      <c r="N175" s="253" t="str">
        <f>IF(K175="","",IF(K175="4 (4)","a",IF(OR(K175="2 (4)",K175="2 (2)"),VLOOKUP(K175,BT!$AE$21:$AF$22,2,FALSE),IF(OR(K175="1/0 (4)",K175="1/0 (2)"),VLOOKUP(K175,BT!$AE$24:$AF$25,2,FALSE),IF(OR(K175="4/0 (4)",K175="4/0 (2)",K175="4/0 (1/0)"),VLOOKUP(K175,BT!$AE$27:$AF$29,2,FALSE),IF(OR(K175="336,4 (4)",K175="336,4 (2)",K175="336,4 (1/0)",K175="336,4 (4/0)"),VLOOKUP(K175,BT!$AE$31:$AF$34,2,FALSE),0))))))</f>
        <v/>
      </c>
      <c r="O175" s="37"/>
      <c r="P175" s="280" t="str">
        <f t="shared" si="61" ref="P175:P184">IF(OR(H175="",L175="",O175=""),"",L175*H175*O175)</f>
        <v/>
      </c>
      <c r="Q175" s="280" t="str">
        <f>IF(P175="","",P175+VLOOKUP(C175,$D$21:$Q$43,13,FALSE))</f>
        <v/>
      </c>
      <c r="R175" s="280" t="str">
        <f t="shared" si="62" ref="R175:R184">IF(H175="","",IF(J175="3",H175*1000/($D$14*SQRT(3)),IF(J175="2",H175*1000*SQRT(3)/($D$14*2),IF(J175="1",H175*1000*SQRT(3)/$D$14,IF(J175="13",H175*1000/$D$16,IF(J175="12",H175*1000*2/$D$16,"erro"))))))</f>
        <v/>
      </c>
      <c r="S175" s="281" t="str">
        <f>IF(OR(M175="a",N175="a"),VLOOKUP("a",'Características dos Cabos'!$D$25:$L$29,9),IF(OR(M175="b",M175="c",N175="b",N175="c"),VLOOKUP("b",'Características dos Cabos'!$D$25:$L$29,9),IF(OR(M175="d",M175="e",N175="d",N175="e"),VLOOKUP("c",'Características dos Cabos'!$D$25:$L$29,9),IF(OR(M175="f",M175="g",M175="h",N175="f",N175="g",N175="h"),VLOOKUP("d",'Características dos Cabos'!$D$25:$L$29,9),IF(OR(M175="i",M175="j",M175="l",M175="m",N175="i",N175="j",N175="l",N175="m"),VLOOKUP("e",'Características dos Cabos'!$D$25:$L$29,9),"")))))</f>
        <v/>
      </c>
      <c r="T175" s="280" t="str">
        <f t="shared" si="63" ref="T175:T184">IF(S175="","",R175*100/S175)</f>
        <v/>
      </c>
      <c r="U175" s="281" t="str">
        <f>IF(OR(M175="a",N175="a"),VLOOKUP("a",'Características dos Cabos'!$D$25:$L$29,3),IF(OR(M175="b",M175="c",N175="b",N175="c"),VLOOKUP("b",'Características dos Cabos'!$D$25:$L$29,3),IF(OR(M175="d",M175="e",N175="d",N175="e"),VLOOKUP("c",'Características dos Cabos'!$D$25:$L$29,3),IF(OR(M175="f",M175="g",M175="h",N175="f",N175="g",N175="h"),VLOOKUP("d",'Características dos Cabos'!$D$25:$L$29,3),IF(OR(M175="i",M175="j",M175="l",M175="m",N175="i",N175="j",N175="l",N175="m"),VLOOKUP("e",'Características dos Cabos'!$D$25:$L$29,3),"")))))</f>
        <v/>
      </c>
      <c r="V175" s="282" t="str">
        <f t="shared" si="64" ref="V175:V184">IF(OR(O175="",$G$16="",H175="",N175=""),"",IF(J175="3",3*$L$12*U175*O175/1000*R175^2*8.76,IF(OR(J175="2",J175="13"),2*$L$12*U175*O175/1000*R175^2*8.76,IF(OR(J175="1",J175="12"),$L$12*U175*O175/1000*R175^2*8.76))))</f>
        <v/>
      </c>
      <c r="W175" s="445" t="e">
        <f>VLOOKUP(C175,$D$21:$Q$43,12,FALSE)</f>
        <v>#N/A</v>
      </c>
      <c r="X175" s="257">
        <f t="shared" si="65" ref="X175:X184">D175</f>
        <v>0</v>
      </c>
      <c r="Y175" s="257">
        <f t="shared" si="66" ref="Y175:Y184">K175</f>
        <v>0</v>
      </c>
      <c r="Z175" s="243"/>
    </row>
    <row r="176" spans="1:26" ht="15" customHeight="1">
      <c r="A176" s="639"/>
      <c r="B176" s="642"/>
      <c r="C176" s="27"/>
      <c r="D176" s="23"/>
      <c r="E176" s="38"/>
      <c r="F176" s="92" t="str">
        <f t="shared" si="45"/>
        <v/>
      </c>
      <c r="G176" s="38"/>
      <c r="H176" s="265" t="str">
        <f>IF(AND(E176="",G176=""),"",SUM(F176:G184))</f>
        <v/>
      </c>
      <c r="J176" s="23"/>
      <c r="K176" s="23"/>
      <c r="L176" s="266" t="str">
        <f>IF(OR(J176="",K176=""),"",IF(J176="3",VLOOKUP(M176,'K% (Rede Convencional)'!$B$18:$M$29,8),(IF(J176="2",VLOOKUP(N176,'K% (Rede Convencional)'!$B$18:$M$29,9),(IF(J176="1",VLOOKUP(N176,'K% (Rede Convencional)'!$B$18:$M$29,10),(IF(J176="13",VLOOKUP(N176,'K% (Rede Convencional)'!$B$18:$M$29,11),(IF(J176="12",VLOOKUP(N176,'K% (Rede Convencional)'!$B$18:$M$29,12),0))))))))))</f>
        <v/>
      </c>
      <c r="M176" s="267" t="str">
        <f t="shared" si="60"/>
        <v/>
      </c>
      <c r="N176" s="267" t="str">
        <f>IF(K176="","",IF(K176="4 (4)","a",IF(OR(K176="2 (4)",K176="2 (2)"),VLOOKUP(K176,BT!$AE$21:$AF$22,2,FALSE),IF(OR(K176="1/0 (4)",K176="1/0 (2)"),VLOOKUP(K176,BT!$AE$24:$AF$25,2,FALSE),IF(OR(K176="4/0 (4)",K176="4/0 (2)",K176="4/0 (1/0)"),VLOOKUP(K176,BT!$AE$27:$AF$29,2,FALSE),IF(OR(K176="336,4 (4)",K176="336,4 (2)",K176="336,4 (1/0)",K176="336,4 (4/0)"),VLOOKUP(K176,BT!$AE$31:$AF$34,2,FALSE),0))))))</f>
        <v/>
      </c>
      <c r="O176" s="38"/>
      <c r="P176" s="268" t="str">
        <f t="shared" si="61"/>
        <v/>
      </c>
      <c r="Q176" s="268" t="str">
        <f>IF(P176="","",SUM($P$45:P176)+$W$115)</f>
        <v/>
      </c>
      <c r="R176" s="268" t="str">
        <f t="shared" si="62"/>
        <v/>
      </c>
      <c r="S176" s="269" t="str">
        <f>IF(OR(M176="a",N176="a"),VLOOKUP("a",'Características dos Cabos'!$D$25:$L$29,9),IF(OR(M176="b",M176="c",N176="b",N176="c"),VLOOKUP("b",'Características dos Cabos'!$D$25:$L$29,9),IF(OR(M176="d",M176="e",N176="d",N176="e"),VLOOKUP("c",'Características dos Cabos'!$D$25:$L$29,9),IF(OR(M176="f",M176="g",M176="h",N176="f",N176="g",N176="h"),VLOOKUP("d",'Características dos Cabos'!$D$25:$L$29,9),IF(OR(M176="i",M176="j",M176="l",M176="m",N176="i",N176="j",N176="l",N176="m"),VLOOKUP("e",'Características dos Cabos'!$D$25:$L$29,9),"")))))</f>
        <v/>
      </c>
      <c r="T176" s="268" t="str">
        <f t="shared" si="63"/>
        <v/>
      </c>
      <c r="U176" s="269" t="str">
        <f>IF(OR(M176="a",N176="a"),VLOOKUP("a",'Características dos Cabos'!$D$25:$L$29,3),IF(OR(M176="b",M176="c",N176="b",N176="c"),VLOOKUP("b",'Características dos Cabos'!$D$25:$L$29,3),IF(OR(M176="d",M176="e",N176="d",N176="e"),VLOOKUP("c",'Características dos Cabos'!$D$25:$L$29,3),IF(OR(M176="f",M176="g",M176="h",N176="f",N176="g",N176="h"),VLOOKUP("d",'Características dos Cabos'!$D$25:$L$29,3),IF(OR(M176="i",M176="j",M176="l",M176="m",N176="i",N176="j",N176="l",N176="m"),VLOOKUP("e",'Características dos Cabos'!$D$25:$L$29,3),"")))))</f>
        <v/>
      </c>
      <c r="V176" s="270" t="str">
        <f t="shared" si="64"/>
        <v/>
      </c>
      <c r="W176" s="243"/>
      <c r="X176" s="257">
        <f t="shared" si="65"/>
        <v>0</v>
      </c>
      <c r="Y176" s="257">
        <f t="shared" si="66"/>
        <v>0</v>
      </c>
      <c r="Z176" s="243"/>
    </row>
    <row r="177" spans="1:26" ht="15" customHeight="1">
      <c r="A177" s="639"/>
      <c r="B177" s="642"/>
      <c r="C177" s="27"/>
      <c r="D177" s="23"/>
      <c r="E177" s="38"/>
      <c r="F177" s="92" t="str">
        <f t="shared" si="45"/>
        <v/>
      </c>
      <c r="G177" s="38"/>
      <c r="H177" s="265" t="str">
        <f>IF(AND(E177="",G177=""),"",SUM(F177:G184))</f>
        <v/>
      </c>
      <c r="J177" s="23"/>
      <c r="K177" s="23"/>
      <c r="L177" s="266" t="str">
        <f>IF(OR(J177="",K177=""),"",IF(J177="3",VLOOKUP(M177,'K% (Rede Convencional)'!$B$18:$M$29,8),(IF(J177="2",VLOOKUP(N177,'K% (Rede Convencional)'!$B$18:$M$29,9),(IF(J177="1",VLOOKUP(N177,'K% (Rede Convencional)'!$B$18:$M$29,10),(IF(J177="13",VLOOKUP(N177,'K% (Rede Convencional)'!$B$18:$M$29,11),(IF(J177="12",VLOOKUP(N177,'K% (Rede Convencional)'!$B$18:$M$29,12),0))))))))))</f>
        <v/>
      </c>
      <c r="M177" s="267" t="str">
        <f t="shared" si="60"/>
        <v/>
      </c>
      <c r="N177" s="267" t="str">
        <f>IF(K177="","",IF(K177="4 (4)","a",IF(OR(K177="2 (4)",K177="2 (2)"),VLOOKUP(K177,BT!$AE$21:$AF$22,2,FALSE),IF(OR(K177="1/0 (4)",K177="1/0 (2)"),VLOOKUP(K177,BT!$AE$24:$AF$25,2,FALSE),IF(OR(K177="4/0 (4)",K177="4/0 (2)",K177="4/0 (1/0)"),VLOOKUP(K177,BT!$AE$27:$AF$29,2,FALSE),IF(OR(K177="336,4 (4)",K177="336,4 (2)",K177="336,4 (1/0)",K177="336,4 (4/0)"),VLOOKUP(K177,BT!$AE$31:$AF$34,2,FALSE),0))))))</f>
        <v/>
      </c>
      <c r="O177" s="38"/>
      <c r="P177" s="268" t="str">
        <f t="shared" si="61"/>
        <v/>
      </c>
      <c r="Q177" s="268" t="str">
        <f>IF(P177="","",SUM($P$45:P177)+$W$115)</f>
        <v/>
      </c>
      <c r="R177" s="268" t="str">
        <f t="shared" si="62"/>
        <v/>
      </c>
      <c r="S177" s="269" t="str">
        <f>IF(OR(M177="a",N177="a"),VLOOKUP("a",'Características dos Cabos'!$D$25:$L$29,9),IF(OR(M177="b",M177="c",N177="b",N177="c"),VLOOKUP("b",'Características dos Cabos'!$D$25:$L$29,9),IF(OR(M177="d",M177="e",N177="d",N177="e"),VLOOKUP("c",'Características dos Cabos'!$D$25:$L$29,9),IF(OR(M177="f",M177="g",M177="h",N177="f",N177="g",N177="h"),VLOOKUP("d",'Características dos Cabos'!$D$25:$L$29,9),IF(OR(M177="i",M177="j",M177="l",M177="m",N177="i",N177="j",N177="l",N177="m"),VLOOKUP("e",'Características dos Cabos'!$D$25:$L$29,9),"")))))</f>
        <v/>
      </c>
      <c r="T177" s="268" t="str">
        <f t="shared" si="63"/>
        <v/>
      </c>
      <c r="U177" s="269" t="str">
        <f>IF(OR(M177="a",N177="a"),VLOOKUP("a",'Características dos Cabos'!$D$25:$L$29,3),IF(OR(M177="b",M177="c",N177="b",N177="c"),VLOOKUP("b",'Características dos Cabos'!$D$25:$L$29,3),IF(OR(M177="d",M177="e",N177="d",N177="e"),VLOOKUP("c",'Características dos Cabos'!$D$25:$L$29,3),IF(OR(M177="f",M177="g",M177="h",N177="f",N177="g",N177="h"),VLOOKUP("d",'Características dos Cabos'!$D$25:$L$29,3),IF(OR(M177="i",M177="j",M177="l",M177="m",N177="i",N177="j",N177="l",N177="m"),VLOOKUP("e",'Características dos Cabos'!$D$25:$L$29,3),"")))))</f>
        <v/>
      </c>
      <c r="V177" s="270" t="str">
        <f t="shared" si="64"/>
        <v/>
      </c>
      <c r="W177" s="243"/>
      <c r="X177" s="257">
        <f t="shared" si="65"/>
        <v>0</v>
      </c>
      <c r="Y177" s="257">
        <f t="shared" si="66"/>
        <v>0</v>
      </c>
      <c r="Z177" s="243"/>
    </row>
    <row r="178" spans="1:26" ht="15" customHeight="1">
      <c r="A178" s="639"/>
      <c r="B178" s="642"/>
      <c r="C178" s="27"/>
      <c r="D178" s="23"/>
      <c r="E178" s="38"/>
      <c r="F178" s="92" t="str">
        <f t="shared" si="45"/>
        <v/>
      </c>
      <c r="G178" s="38"/>
      <c r="H178" s="265" t="str">
        <f>IF(AND(E178="",G178=""),"",SUM(F178:G184))</f>
        <v/>
      </c>
      <c r="J178" s="23"/>
      <c r="K178" s="23"/>
      <c r="L178" s="266" t="str">
        <f>IF(OR(J178="",K178=""),"",IF(J178="3",VLOOKUP(M178,'K% (Rede Convencional)'!$B$18:$M$29,8),(IF(J178="2",VLOOKUP(N178,'K% (Rede Convencional)'!$B$18:$M$29,9),(IF(J178="1",VLOOKUP(N178,'K% (Rede Convencional)'!$B$18:$M$29,10),(IF(J178="13",VLOOKUP(N178,'K% (Rede Convencional)'!$B$18:$M$29,11),(IF(J178="12",VLOOKUP(N178,'K% (Rede Convencional)'!$B$18:$M$29,12),0))))))))))</f>
        <v/>
      </c>
      <c r="M178" s="267" t="str">
        <f t="shared" si="60"/>
        <v/>
      </c>
      <c r="N178" s="267" t="str">
        <f>IF(K178="","",IF(K178="4 (4)","a",IF(OR(K178="2 (4)",K178="2 (2)"),VLOOKUP(K178,BT!$AE$21:$AF$22,2,FALSE),IF(OR(K178="1/0 (4)",K178="1/0 (2)"),VLOOKUP(K178,BT!$AE$24:$AF$25,2,FALSE),IF(OR(K178="4/0 (4)",K178="4/0 (2)",K178="4/0 (1/0)"),VLOOKUP(K178,BT!$AE$27:$AF$29,2,FALSE),IF(OR(K178="336,4 (4)",K178="336,4 (2)",K178="336,4 (1/0)",K178="336,4 (4/0)"),VLOOKUP(K178,BT!$AE$31:$AF$34,2,FALSE),0))))))</f>
        <v/>
      </c>
      <c r="O178" s="38"/>
      <c r="P178" s="268" t="str">
        <f t="shared" si="61"/>
        <v/>
      </c>
      <c r="Q178" s="268" t="str">
        <f>IF(P178="","",SUM($P$45:P178)+$W$115)</f>
        <v/>
      </c>
      <c r="R178" s="268" t="str">
        <f t="shared" si="62"/>
        <v/>
      </c>
      <c r="S178" s="269" t="str">
        <f>IF(OR(M178="a",N178="a"),VLOOKUP("a",'Características dos Cabos'!$D$25:$L$29,9),IF(OR(M178="b",M178="c",N178="b",N178="c"),VLOOKUP("b",'Características dos Cabos'!$D$25:$L$29,9),IF(OR(M178="d",M178="e",N178="d",N178="e"),VLOOKUP("c",'Características dos Cabos'!$D$25:$L$29,9),IF(OR(M178="f",M178="g",M178="h",N178="f",N178="g",N178="h"),VLOOKUP("d",'Características dos Cabos'!$D$25:$L$29,9),IF(OR(M178="i",M178="j",M178="l",M178="m",N178="i",N178="j",N178="l",N178="m"),VLOOKUP("e",'Características dos Cabos'!$D$25:$L$29,9),"")))))</f>
        <v/>
      </c>
      <c r="T178" s="268" t="str">
        <f t="shared" si="63"/>
        <v/>
      </c>
      <c r="U178" s="269" t="str">
        <f>IF(OR(M178="a",N178="a"),VLOOKUP("a",'Características dos Cabos'!$D$25:$L$29,3),IF(OR(M178="b",M178="c",N178="b",N178="c"),VLOOKUP("b",'Características dos Cabos'!$D$25:$L$29,3),IF(OR(M178="d",M178="e",N178="d",N178="e"),VLOOKUP("c",'Características dos Cabos'!$D$25:$L$29,3),IF(OR(M178="f",M178="g",M178="h",N178="f",N178="g",N178="h"),VLOOKUP("d",'Características dos Cabos'!$D$25:$L$29,3),IF(OR(M178="i",M178="j",M178="l",M178="m",N178="i",N178="j",N178="l",N178="m"),VLOOKUP("e",'Características dos Cabos'!$D$25:$L$29,3),"")))))</f>
        <v/>
      </c>
      <c r="V178" s="270" t="str">
        <f t="shared" si="64"/>
        <v/>
      </c>
      <c r="W178" s="243"/>
      <c r="X178" s="257">
        <f t="shared" si="65"/>
        <v>0</v>
      </c>
      <c r="Y178" s="257">
        <f t="shared" si="66"/>
        <v>0</v>
      </c>
      <c r="Z178" s="243"/>
    </row>
    <row r="179" spans="1:26" ht="15" customHeight="1">
      <c r="A179" s="639"/>
      <c r="B179" s="642"/>
      <c r="C179" s="27"/>
      <c r="D179" s="23"/>
      <c r="E179" s="38"/>
      <c r="F179" s="92" t="str">
        <f t="shared" si="45"/>
        <v/>
      </c>
      <c r="G179" s="38"/>
      <c r="H179" s="265" t="str">
        <f>IF(AND(E179="",G179=""),"",SUM(F179:G184))</f>
        <v/>
      </c>
      <c r="J179" s="23"/>
      <c r="K179" s="23"/>
      <c r="L179" s="266" t="str">
        <f>IF(OR(J179="",K179=""),"",IF(J179="3",VLOOKUP(M179,'K% (Rede Convencional)'!$B$18:$M$29,8),(IF(J179="2",VLOOKUP(N179,'K% (Rede Convencional)'!$B$18:$M$29,9),(IF(J179="1",VLOOKUP(N179,'K% (Rede Convencional)'!$B$18:$M$29,10),(IF(J179="13",VLOOKUP(N179,'K% (Rede Convencional)'!$B$18:$M$29,11),(IF(J179="12",VLOOKUP(N179,'K% (Rede Convencional)'!$B$18:$M$29,12),0))))))))))</f>
        <v/>
      </c>
      <c r="M179" s="267" t="str">
        <f t="shared" si="60"/>
        <v/>
      </c>
      <c r="N179" s="267" t="str">
        <f>IF(K179="","",IF(K179="4 (4)","a",IF(OR(K179="2 (4)",K179="2 (2)"),VLOOKUP(K179,BT!$AE$21:$AF$22,2,FALSE),IF(OR(K179="1/0 (4)",K179="1/0 (2)"),VLOOKUP(K179,BT!$AE$24:$AF$25,2,FALSE),IF(OR(K179="4/0 (4)",K179="4/0 (2)",K179="4/0 (1/0)"),VLOOKUP(K179,BT!$AE$27:$AF$29,2,FALSE),IF(OR(K179="336,4 (4)",K179="336,4 (2)",K179="336,4 (1/0)",K179="336,4 (4/0)"),VLOOKUP(K179,BT!$AE$31:$AF$34,2,FALSE),0))))))</f>
        <v/>
      </c>
      <c r="O179" s="38"/>
      <c r="P179" s="268" t="str">
        <f t="shared" si="61"/>
        <v/>
      </c>
      <c r="Q179" s="268" t="str">
        <f>IF(P179="","",SUM($P$45:P179)+$W$115)</f>
        <v/>
      </c>
      <c r="R179" s="268" t="str">
        <f t="shared" si="62"/>
        <v/>
      </c>
      <c r="S179" s="269" t="str">
        <f>IF(OR(M179="a",N179="a"),VLOOKUP("a",'Características dos Cabos'!$D$25:$L$29,9),IF(OR(M179="b",M179="c",N179="b",N179="c"),VLOOKUP("b",'Características dos Cabos'!$D$25:$L$29,9),IF(OR(M179="d",M179="e",N179="d",N179="e"),VLOOKUP("c",'Características dos Cabos'!$D$25:$L$29,9),IF(OR(M179="f",M179="g",M179="h",N179="f",N179="g",N179="h"),VLOOKUP("d",'Características dos Cabos'!$D$25:$L$29,9),IF(OR(M179="i",M179="j",M179="l",M179="m",N179="i",N179="j",N179="l",N179="m"),VLOOKUP("e",'Características dos Cabos'!$D$25:$L$29,9),"")))))</f>
        <v/>
      </c>
      <c r="T179" s="268" t="str">
        <f t="shared" si="63"/>
        <v/>
      </c>
      <c r="U179" s="269" t="str">
        <f>IF(OR(M179="a",N179="a"),VLOOKUP("a",'Características dos Cabos'!$D$25:$L$29,3),IF(OR(M179="b",M179="c",N179="b",N179="c"),VLOOKUP("b",'Características dos Cabos'!$D$25:$L$29,3),IF(OR(M179="d",M179="e",N179="d",N179="e"),VLOOKUP("c",'Características dos Cabos'!$D$25:$L$29,3),IF(OR(M179="f",M179="g",M179="h",N179="f",N179="g",N179="h"),VLOOKUP("d",'Características dos Cabos'!$D$25:$L$29,3),IF(OR(M179="i",M179="j",M179="l",M179="m",N179="i",N179="j",N179="l",N179="m"),VLOOKUP("e",'Características dos Cabos'!$D$25:$L$29,3),"")))))</f>
        <v/>
      </c>
      <c r="V179" s="270" t="str">
        <f t="shared" si="64"/>
        <v/>
      </c>
      <c r="W179" s="243"/>
      <c r="X179" s="257">
        <f t="shared" si="65"/>
        <v>0</v>
      </c>
      <c r="Y179" s="257">
        <f t="shared" si="66"/>
        <v>0</v>
      </c>
      <c r="Z179" s="243"/>
    </row>
    <row r="180" spans="1:26" ht="15" customHeight="1">
      <c r="A180" s="639"/>
      <c r="B180" s="642"/>
      <c r="C180" s="27"/>
      <c r="D180" s="23"/>
      <c r="E180" s="38"/>
      <c r="F180" s="92" t="str">
        <f t="shared" si="45"/>
        <v/>
      </c>
      <c r="G180" s="38"/>
      <c r="H180" s="265" t="str">
        <f>IF(AND(E180="",G180=""),"",SUM(F180:G184))</f>
        <v/>
      </c>
      <c r="J180" s="23"/>
      <c r="K180" s="23"/>
      <c r="L180" s="266" t="str">
        <f>IF(OR(J180="",K180=""),"",IF(J180="3",VLOOKUP(M180,'K% (Rede Convencional)'!$B$18:$M$29,8),(IF(J180="2",VLOOKUP(N180,'K% (Rede Convencional)'!$B$18:$M$29,9),(IF(J180="1",VLOOKUP(N180,'K% (Rede Convencional)'!$B$18:$M$29,10),(IF(J180="13",VLOOKUP(N180,'K% (Rede Convencional)'!$B$18:$M$29,11),(IF(J180="12",VLOOKUP(N180,'K% (Rede Convencional)'!$B$18:$M$29,12),0))))))))))</f>
        <v/>
      </c>
      <c r="M180" s="267" t="str">
        <f t="shared" si="60"/>
        <v/>
      </c>
      <c r="N180" s="267" t="str">
        <f>IF(K180="","",IF(K180="4 (4)","a",IF(OR(K180="2 (4)",K180="2 (2)"),VLOOKUP(K180,BT!$AE$21:$AF$22,2,FALSE),IF(OR(K180="1/0 (4)",K180="1/0 (2)"),VLOOKUP(K180,BT!$AE$24:$AF$25,2,FALSE),IF(OR(K180="4/0 (4)",K180="4/0 (2)",K180="4/0 (1/0)"),VLOOKUP(K180,BT!$AE$27:$AF$29,2,FALSE),IF(OR(K180="336,4 (4)",K180="336,4 (2)",K180="336,4 (1/0)",K180="336,4 (4/0)"),VLOOKUP(K180,BT!$AE$31:$AF$34,2,FALSE),0))))))</f>
        <v/>
      </c>
      <c r="O180" s="38"/>
      <c r="P180" s="268" t="str">
        <f t="shared" si="61"/>
        <v/>
      </c>
      <c r="Q180" s="268" t="str">
        <f>IF(P180="","",SUM($P$45:P180)+$W$115)</f>
        <v/>
      </c>
      <c r="R180" s="268" t="str">
        <f t="shared" si="62"/>
        <v/>
      </c>
      <c r="S180" s="269" t="str">
        <f>IF(OR(M180="a",N180="a"),VLOOKUP("a",'Características dos Cabos'!$D$25:$L$29,9),IF(OR(M180="b",M180="c",N180="b",N180="c"),VLOOKUP("b",'Características dos Cabos'!$D$25:$L$29,9),IF(OR(M180="d",M180="e",N180="d",N180="e"),VLOOKUP("c",'Características dos Cabos'!$D$25:$L$29,9),IF(OR(M180="f",M180="g",M180="h",N180="f",N180="g",N180="h"),VLOOKUP("d",'Características dos Cabos'!$D$25:$L$29,9),IF(OR(M180="i",M180="j",M180="l",M180="m",N180="i",N180="j",N180="l",N180="m"),VLOOKUP("e",'Características dos Cabos'!$D$25:$L$29,9),"")))))</f>
        <v/>
      </c>
      <c r="T180" s="268" t="str">
        <f t="shared" si="63"/>
        <v/>
      </c>
      <c r="U180" s="269" t="str">
        <f>IF(OR(M180="a",N180="a"),VLOOKUP("a",'Características dos Cabos'!$D$25:$L$29,3),IF(OR(M180="b",M180="c",N180="b",N180="c"),VLOOKUP("b",'Características dos Cabos'!$D$25:$L$29,3),IF(OR(M180="d",M180="e",N180="d",N180="e"),VLOOKUP("c",'Características dos Cabos'!$D$25:$L$29,3),IF(OR(M180="f",M180="g",M180="h",N180="f",N180="g",N180="h"),VLOOKUP("d",'Características dos Cabos'!$D$25:$L$29,3),IF(OR(M180="i",M180="j",M180="l",M180="m",N180="i",N180="j",N180="l",N180="m"),VLOOKUP("e",'Características dos Cabos'!$D$25:$L$29,3),"")))))</f>
        <v/>
      </c>
      <c r="V180" s="270" t="str">
        <f t="shared" si="64"/>
        <v/>
      </c>
      <c r="W180" s="243"/>
      <c r="X180" s="257">
        <f t="shared" si="65"/>
        <v>0</v>
      </c>
      <c r="Y180" s="257">
        <f t="shared" si="66"/>
        <v>0</v>
      </c>
      <c r="Z180" s="243"/>
    </row>
    <row r="181" spans="1:26" ht="15" customHeight="1">
      <c r="A181" s="639"/>
      <c r="B181" s="642"/>
      <c r="C181" s="27"/>
      <c r="D181" s="23"/>
      <c r="E181" s="38"/>
      <c r="F181" s="92" t="str">
        <f t="shared" si="45"/>
        <v/>
      </c>
      <c r="G181" s="38"/>
      <c r="H181" s="265" t="str">
        <f>IF(AND(E181="",G181=""),"",SUM(F181:G184))</f>
        <v/>
      </c>
      <c r="J181" s="23"/>
      <c r="K181" s="23"/>
      <c r="L181" s="266" t="str">
        <f>IF(OR(J181="",K181=""),"",IF(J181="3",VLOOKUP(M181,'K% (Rede Convencional)'!$B$18:$M$29,8),(IF(J181="2",VLOOKUP(N181,'K% (Rede Convencional)'!$B$18:$M$29,9),(IF(J181="1",VLOOKUP(N181,'K% (Rede Convencional)'!$B$18:$M$29,10),(IF(J181="13",VLOOKUP(N181,'K% (Rede Convencional)'!$B$18:$M$29,11),(IF(J181="12",VLOOKUP(N181,'K% (Rede Convencional)'!$B$18:$M$29,12),0))))))))))</f>
        <v/>
      </c>
      <c r="M181" s="267" t="str">
        <f t="shared" si="60"/>
        <v/>
      </c>
      <c r="N181" s="267" t="str">
        <f>IF(K181="","",IF(K181="4 (4)","a",IF(OR(K181="2 (4)",K181="2 (2)"),VLOOKUP(K181,BT!$AE$21:$AF$22,2,FALSE),IF(OR(K181="1/0 (4)",K181="1/0 (2)"),VLOOKUP(K181,BT!$AE$24:$AF$25,2,FALSE),IF(OR(K181="4/0 (4)",K181="4/0 (2)",K181="4/0 (1/0)"),VLOOKUP(K181,BT!$AE$27:$AF$29,2,FALSE),IF(OR(K181="336,4 (4)",K181="336,4 (2)",K181="336,4 (1/0)",K181="336,4 (4/0)"),VLOOKUP(K181,BT!$AE$31:$AF$34,2,FALSE),0))))))</f>
        <v/>
      </c>
      <c r="O181" s="38"/>
      <c r="P181" s="268" t="str">
        <f t="shared" si="61"/>
        <v/>
      </c>
      <c r="Q181" s="268" t="str">
        <f>IF(P181="","",SUM($P$45:P181)+$W$115)</f>
        <v/>
      </c>
      <c r="R181" s="268" t="str">
        <f t="shared" si="62"/>
        <v/>
      </c>
      <c r="S181" s="269" t="str">
        <f>IF(OR(M181="a",N181="a"),VLOOKUP("a",'Características dos Cabos'!$D$25:$L$29,9),IF(OR(M181="b",M181="c",N181="b",N181="c"),VLOOKUP("b",'Características dos Cabos'!$D$25:$L$29,9),IF(OR(M181="d",M181="e",N181="d",N181="e"),VLOOKUP("c",'Características dos Cabos'!$D$25:$L$29,9),IF(OR(M181="f",M181="g",M181="h",N181="f",N181="g",N181="h"),VLOOKUP("d",'Características dos Cabos'!$D$25:$L$29,9),IF(OR(M181="i",M181="j",M181="l",M181="m",N181="i",N181="j",N181="l",N181="m"),VLOOKUP("e",'Características dos Cabos'!$D$25:$L$29,9),"")))))</f>
        <v/>
      </c>
      <c r="T181" s="268" t="str">
        <f t="shared" si="63"/>
        <v/>
      </c>
      <c r="U181" s="269" t="str">
        <f>IF(OR(M181="a",N181="a"),VLOOKUP("a",'Características dos Cabos'!$D$25:$L$29,3),IF(OR(M181="b",M181="c",N181="b",N181="c"),VLOOKUP("b",'Características dos Cabos'!$D$25:$L$29,3),IF(OR(M181="d",M181="e",N181="d",N181="e"),VLOOKUP("c",'Características dos Cabos'!$D$25:$L$29,3),IF(OR(M181="f",M181="g",M181="h",N181="f",N181="g",N181="h"),VLOOKUP("d",'Características dos Cabos'!$D$25:$L$29,3),IF(OR(M181="i",M181="j",M181="l",M181="m",N181="i",N181="j",N181="l",N181="m"),VLOOKUP("e",'Características dos Cabos'!$D$25:$L$29,3),"")))))</f>
        <v/>
      </c>
      <c r="V181" s="270" t="str">
        <f t="shared" si="64"/>
        <v/>
      </c>
      <c r="W181" s="243"/>
      <c r="X181" s="257">
        <f t="shared" si="65"/>
        <v>0</v>
      </c>
      <c r="Y181" s="257">
        <f t="shared" si="66"/>
        <v>0</v>
      </c>
      <c r="Z181" s="243"/>
    </row>
    <row r="182" spans="1:26" ht="15" customHeight="1">
      <c r="A182" s="639"/>
      <c r="B182" s="642"/>
      <c r="C182" s="27"/>
      <c r="D182" s="23"/>
      <c r="E182" s="38"/>
      <c r="F182" s="92" t="str">
        <f t="shared" si="45"/>
        <v/>
      </c>
      <c r="G182" s="38"/>
      <c r="H182" s="265" t="str">
        <f>IF(AND(E182="",G182=""),"",SUM(F182:G184))</f>
        <v/>
      </c>
      <c r="J182" s="23"/>
      <c r="K182" s="23"/>
      <c r="L182" s="266" t="str">
        <f>IF(OR(J182="",K182=""),"",IF(J182="3",VLOOKUP(M182,'K% (Rede Convencional)'!$B$18:$M$29,8),(IF(J182="2",VLOOKUP(N182,'K% (Rede Convencional)'!$B$18:$M$29,9),(IF(J182="1",VLOOKUP(N182,'K% (Rede Convencional)'!$B$18:$M$29,10),(IF(J182="13",VLOOKUP(N182,'K% (Rede Convencional)'!$B$18:$M$29,11),(IF(J182="12",VLOOKUP(N182,'K% (Rede Convencional)'!$B$18:$M$29,12),0))))))))))</f>
        <v/>
      </c>
      <c r="M182" s="267" t="str">
        <f t="shared" si="60"/>
        <v/>
      </c>
      <c r="N182" s="267" t="str">
        <f>IF(K182="","",IF(K182="4 (4)","a",IF(OR(K182="2 (4)",K182="2 (2)"),VLOOKUP(K182,BT!$AE$21:$AF$22,2,FALSE),IF(OR(K182="1/0 (4)",K182="1/0 (2)"),VLOOKUP(K182,BT!$AE$24:$AF$25,2,FALSE),IF(OR(K182="4/0 (4)",K182="4/0 (2)",K182="4/0 (1/0)"),VLOOKUP(K182,BT!$AE$27:$AF$29,2,FALSE),IF(OR(K182="336,4 (4)",K182="336,4 (2)",K182="336,4 (1/0)",K182="336,4 (4/0)"),VLOOKUP(K182,BT!$AE$31:$AF$34,2,FALSE),0))))))</f>
        <v/>
      </c>
      <c r="O182" s="38"/>
      <c r="P182" s="268" t="str">
        <f t="shared" si="61"/>
        <v/>
      </c>
      <c r="Q182" s="268" t="str">
        <f>IF(P182="","",SUM($P$45:P182)+$W$115)</f>
        <v/>
      </c>
      <c r="R182" s="268" t="str">
        <f t="shared" si="62"/>
        <v/>
      </c>
      <c r="S182" s="269" t="str">
        <f>IF(OR(M182="a",N182="a"),VLOOKUP("a",'Características dos Cabos'!$D$25:$L$29,9),IF(OR(M182="b",M182="c",N182="b",N182="c"),VLOOKUP("b",'Características dos Cabos'!$D$25:$L$29,9),IF(OR(M182="d",M182="e",N182="d",N182="e"),VLOOKUP("c",'Características dos Cabos'!$D$25:$L$29,9),IF(OR(M182="f",M182="g",M182="h",N182="f",N182="g",N182="h"),VLOOKUP("d",'Características dos Cabos'!$D$25:$L$29,9),IF(OR(M182="i",M182="j",M182="l",M182="m",N182="i",N182="j",N182="l",N182="m"),VLOOKUP("e",'Características dos Cabos'!$D$25:$L$29,9),"")))))</f>
        <v/>
      </c>
      <c r="T182" s="268" t="str">
        <f t="shared" si="63"/>
        <v/>
      </c>
      <c r="U182" s="269" t="str">
        <f>IF(OR(M182="a",N182="a"),VLOOKUP("a",'Características dos Cabos'!$D$25:$L$29,3),IF(OR(M182="b",M182="c",N182="b",N182="c"),VLOOKUP("b",'Características dos Cabos'!$D$25:$L$29,3),IF(OR(M182="d",M182="e",N182="d",N182="e"),VLOOKUP("c",'Características dos Cabos'!$D$25:$L$29,3),IF(OR(M182="f",M182="g",M182="h",N182="f",N182="g",N182="h"),VLOOKUP("d",'Características dos Cabos'!$D$25:$L$29,3),IF(OR(M182="i",M182="j",M182="l",M182="m",N182="i",N182="j",N182="l",N182="m"),VLOOKUP("e",'Características dos Cabos'!$D$25:$L$29,3),"")))))</f>
        <v/>
      </c>
      <c r="V182" s="270" t="str">
        <f t="shared" si="64"/>
        <v/>
      </c>
      <c r="W182" s="243"/>
      <c r="X182" s="257">
        <f t="shared" si="65"/>
        <v>0</v>
      </c>
      <c r="Y182" s="257">
        <f t="shared" si="66"/>
        <v>0</v>
      </c>
      <c r="Z182" s="243"/>
    </row>
    <row r="183" spans="1:26" ht="15" customHeight="1">
      <c r="A183" s="639"/>
      <c r="B183" s="642"/>
      <c r="C183" s="27"/>
      <c r="D183" s="23"/>
      <c r="E183" s="38"/>
      <c r="F183" s="92" t="str">
        <f t="shared" si="45"/>
        <v/>
      </c>
      <c r="G183" s="38"/>
      <c r="H183" s="265" t="str">
        <f>IF(AND(E183="",G183=""),"",SUM(F183:G184))</f>
        <v/>
      </c>
      <c r="J183" s="23"/>
      <c r="K183" s="23"/>
      <c r="L183" s="266" t="str">
        <f>IF(OR(J183="",K183=""),"",IF(J183="3",VLOOKUP(M183,'K% (Rede Convencional)'!$B$18:$M$29,8),(IF(J183="2",VLOOKUP(N183,'K% (Rede Convencional)'!$B$18:$M$29,9),(IF(J183="1",VLOOKUP(N183,'K% (Rede Convencional)'!$B$18:$M$29,10),(IF(J183="13",VLOOKUP(N183,'K% (Rede Convencional)'!$B$18:$M$29,11),(IF(J183="12",VLOOKUP(N183,'K% (Rede Convencional)'!$B$18:$M$29,12),0))))))))))</f>
        <v/>
      </c>
      <c r="M183" s="267" t="str">
        <f t="shared" si="60"/>
        <v/>
      </c>
      <c r="N183" s="267" t="str">
        <f>IF(K183="","",IF(K183="4 (4)","a",IF(OR(K183="2 (4)",K183="2 (2)"),VLOOKUP(K183,BT!$AE$21:$AF$22,2,FALSE),IF(OR(K183="1/0 (4)",K183="1/0 (2)"),VLOOKUP(K183,BT!$AE$24:$AF$25,2,FALSE),IF(OR(K183="4/0 (4)",K183="4/0 (2)",K183="4/0 (1/0)"),VLOOKUP(K183,BT!$AE$27:$AF$29,2,FALSE),IF(OR(K183="336,4 (4)",K183="336,4 (2)",K183="336,4 (1/0)",K183="336,4 (4/0)"),VLOOKUP(K183,BT!$AE$31:$AF$34,2,FALSE),0))))))</f>
        <v/>
      </c>
      <c r="O183" s="38"/>
      <c r="P183" s="268" t="str">
        <f t="shared" si="61"/>
        <v/>
      </c>
      <c r="Q183" s="268" t="str">
        <f>IF(P183="","",SUM($P$45:P183)+$W$115)</f>
        <v/>
      </c>
      <c r="R183" s="268" t="str">
        <f t="shared" si="62"/>
        <v/>
      </c>
      <c r="S183" s="269" t="str">
        <f>IF(OR(M183="a",N183="a"),VLOOKUP("a",'Características dos Cabos'!$D$25:$L$29,9),IF(OR(M183="b",M183="c",N183="b",N183="c"),VLOOKUP("b",'Características dos Cabos'!$D$25:$L$29,9),IF(OR(M183="d",M183="e",N183="d",N183="e"),VLOOKUP("c",'Características dos Cabos'!$D$25:$L$29,9),IF(OR(M183="f",M183="g",M183="h",N183="f",N183="g",N183="h"),VLOOKUP("d",'Características dos Cabos'!$D$25:$L$29,9),IF(OR(M183="i",M183="j",M183="l",M183="m",N183="i",N183="j",N183="l",N183="m"),VLOOKUP("e",'Características dos Cabos'!$D$25:$L$29,9),"")))))</f>
        <v/>
      </c>
      <c r="T183" s="268" t="str">
        <f t="shared" si="63"/>
        <v/>
      </c>
      <c r="U183" s="269" t="str">
        <f>IF(OR(M183="a",N183="a"),VLOOKUP("a",'Características dos Cabos'!$D$25:$L$29,3),IF(OR(M183="b",M183="c",N183="b",N183="c"),VLOOKUP("b",'Características dos Cabos'!$D$25:$L$29,3),IF(OR(M183="d",M183="e",N183="d",N183="e"),VLOOKUP("c",'Características dos Cabos'!$D$25:$L$29,3),IF(OR(M183="f",M183="g",M183="h",N183="f",N183="g",N183="h"),VLOOKUP("d",'Características dos Cabos'!$D$25:$L$29,3),IF(OR(M183="i",M183="j",M183="l",M183="m",N183="i",N183="j",N183="l",N183="m"),VLOOKUP("e",'Características dos Cabos'!$D$25:$L$29,3),"")))))</f>
        <v/>
      </c>
      <c r="V183" s="270" t="str">
        <f t="shared" si="64"/>
        <v/>
      </c>
      <c r="W183" s="243"/>
      <c r="X183" s="257">
        <f t="shared" si="65"/>
        <v>0</v>
      </c>
      <c r="Y183" s="257">
        <f t="shared" si="66"/>
        <v>0</v>
      </c>
      <c r="Z183" s="243"/>
    </row>
    <row r="184" spans="1:26" ht="15" customHeight="1" thickBot="1">
      <c r="A184" s="639"/>
      <c r="B184" s="643"/>
      <c r="C184" s="28"/>
      <c r="D184" s="24"/>
      <c r="E184" s="39"/>
      <c r="F184" s="54" t="str">
        <f t="shared" si="45"/>
        <v/>
      </c>
      <c r="G184" s="39"/>
      <c r="H184" s="286" t="str">
        <f>IF(AND(E184="",G184=""),"",SUM(F184:G184))</f>
        <v/>
      </c>
      <c r="J184" s="24"/>
      <c r="K184" s="24"/>
      <c r="L184" s="287" t="str">
        <f>IF(OR(J184="",K184=""),"",IF(J184="3",VLOOKUP(M184,'K% (Rede Convencional)'!$B$18:$M$29,8),(IF(J184="2",VLOOKUP(N184,'K% (Rede Convencional)'!$B$18:$M$29,9),(IF(J184="1",VLOOKUP(N184,'K% (Rede Convencional)'!$B$18:$M$29,10),(IF(J184="13",VLOOKUP(N184,'K% (Rede Convencional)'!$B$18:$M$29,11),(IF(J184="12",VLOOKUP(N184,'K% (Rede Convencional)'!$B$18:$M$29,12),0))))))))))</f>
        <v/>
      </c>
      <c r="M184" s="288" t="str">
        <f t="shared" si="60"/>
        <v/>
      </c>
      <c r="N184" s="288" t="str">
        <f>IF(K184="","",IF(K184="4 (4)","a",IF(OR(K184="2 (4)",K184="2 (2)"),VLOOKUP(K184,BT!$AE$21:$AF$22,2,FALSE),IF(OR(K184="1/0 (4)",K184="1/0 (2)"),VLOOKUP(K184,BT!$AE$24:$AF$25,2,FALSE),IF(OR(K184="4/0 (4)",K184="4/0 (2)",K184="4/0 (1/0)"),VLOOKUP(K184,BT!$AE$27:$AF$29,2,FALSE),IF(OR(K184="336,4 (4)",K184="336,4 (2)",K184="336,4 (1/0)",K184="336,4 (4/0)"),VLOOKUP(K184,BT!$AE$31:$AF$34,2,FALSE),0))))))</f>
        <v/>
      </c>
      <c r="O184" s="39"/>
      <c r="P184" s="289" t="str">
        <f t="shared" si="61"/>
        <v/>
      </c>
      <c r="Q184" s="289" t="str">
        <f>IF(P184="","",SUM($P$45:P184)+$W$115)</f>
        <v/>
      </c>
      <c r="R184" s="289" t="str">
        <f t="shared" si="62"/>
        <v/>
      </c>
      <c r="S184" s="290" t="str">
        <f>IF(N184="a",VLOOKUP("a",#REF!,9),IF(OR(N184="b",N184="c"),VLOOKUP("b",#REF!,9),IF(OR(N184="d",N184="e"),VLOOKUP("c",#REF!,9),IF(OR(N184="f",N184="g",N184="h"),VLOOKUP("d",#REF!,9),IF(OR(N184="i",N184="j",N184="l",N184="m"),VLOOKUP("e",#REF!,9),"")))))</f>
        <v/>
      </c>
      <c r="T184" s="289" t="str">
        <f t="shared" si="63"/>
        <v/>
      </c>
      <c r="U184" s="290" t="str">
        <f>IF(OR(M184="a",N184="a"),VLOOKUP("a",'Características dos Cabos'!$D$25:$L$29,3),IF(OR(M184="b",M184="c",N184="b",N184="c"),VLOOKUP("b",'Características dos Cabos'!$D$25:$L$29,3),IF(OR(M184="d",M184="e",N184="d",N184="e"),VLOOKUP("c",'Características dos Cabos'!$D$25:$L$29,3),IF(OR(M184="f",M184="g",M184="h",N184="f",N184="g",N184="h"),VLOOKUP("d",'Características dos Cabos'!$D$25:$L$29,3),IF(OR(M184="i",M184="j",M184="l",M184="m",N184="i",N184="j",N184="l",N184="m"),VLOOKUP("e",'Características dos Cabos'!$D$25:$L$29,3),"")))))</f>
        <v/>
      </c>
      <c r="V184" s="291" t="str">
        <f t="shared" si="64"/>
        <v/>
      </c>
      <c r="W184" s="243"/>
      <c r="X184" s="257">
        <f t="shared" si="65"/>
        <v>0</v>
      </c>
      <c r="Y184" s="257">
        <f t="shared" si="66"/>
        <v>0</v>
      </c>
      <c r="Z184" s="243"/>
    </row>
    <row r="185" spans="1:26" ht="15" customHeight="1" thickTop="1">
      <c r="A185" s="639"/>
      <c r="B185" s="641" t="str">
        <f>CONCATENATE("Ramal 15 - Derivando no ponto ",C185)</f>
        <v xml:space="preserve">Ramal 15 - Derivando no ponto </v>
      </c>
      <c r="C185" s="26"/>
      <c r="D185" s="25"/>
      <c r="E185" s="37"/>
      <c r="F185" s="92" t="str">
        <f t="shared" si="45"/>
        <v/>
      </c>
      <c r="G185" s="37"/>
      <c r="H185" s="278" t="str">
        <f>IF(AND(E185="",G185=""),"",SUM(F185:G194))</f>
        <v/>
      </c>
      <c r="J185" s="25"/>
      <c r="K185" s="25"/>
      <c r="L185" s="279" t="str">
        <f>IF(OR(J185="",K185=""),"",IF(J185="3",VLOOKUP(M185,'K% (Rede Convencional)'!$B$18:$M$29,8),(IF(J185="2",VLOOKUP(N185,'K% (Rede Convencional)'!$B$18:$M$29,9),(IF(J185="1",VLOOKUP(N185,'K% (Rede Convencional)'!$B$18:$M$29,10),(IF(J185="13",VLOOKUP(N185,'K% (Rede Convencional)'!$B$18:$M$29,11),(IF(J185="12",VLOOKUP(N185,'K% (Rede Convencional)'!$B$18:$M$29,12),0))))))))))</f>
        <v/>
      </c>
      <c r="M185" s="253" t="str">
        <f t="shared" si="67" ref="M185:M194">IF(K185="4","a",IF(K185="2","b",IF(K185="1/0","d",IF(K185="4/0","f",IF(K185="336,4","i","")))))</f>
        <v/>
      </c>
      <c r="N185" s="253" t="str">
        <f>IF(K185="","",IF(K185="4 (4)","a",IF(OR(K185="2 (4)",K185="2 (2)"),VLOOKUP(K185,BT!$AE$21:$AF$22,2,FALSE),IF(OR(K185="1/0 (4)",K185="1/0 (2)"),VLOOKUP(K185,BT!$AE$24:$AF$25,2,FALSE),IF(OR(K185="4/0 (4)",K185="4/0 (2)",K185="4/0 (1/0)"),VLOOKUP(K185,BT!$AE$27:$AF$29,2,FALSE),IF(OR(K185="336,4 (4)",K185="336,4 (2)",K185="336,4 (1/0)",K185="336,4 (4/0)"),VLOOKUP(K185,BT!$AE$31:$AF$34,2,FALSE),0))))))</f>
        <v/>
      </c>
      <c r="O185" s="37"/>
      <c r="P185" s="280" t="str">
        <f t="shared" si="68" ref="P185:P194">IF(OR(H185="",L185="",O185=""),"",L185*H185*O185)</f>
        <v/>
      </c>
      <c r="Q185" s="280" t="str">
        <f>IF(P185="","",P185+VLOOKUP(C185,$D$21:$Q$43,13,FALSE))</f>
        <v/>
      </c>
      <c r="R185" s="280" t="str">
        <f t="shared" si="69" ref="R185:R194">IF(H185="","",IF(J185="3",H185*1000/($D$14*SQRT(3)),IF(J185="2",H185*1000*SQRT(3)/($D$14*2),IF(J185="1",H185*1000*SQRT(3)/$D$14,IF(J185="13",H185*1000/$D$16,IF(J185="12",H185*1000*2/$D$16,"erro"))))))</f>
        <v/>
      </c>
      <c r="S185" s="281" t="str">
        <f>IF(OR(M185="a",N185="a"),VLOOKUP("a",'Características dos Cabos'!$D$25:$L$29,9),IF(OR(M185="b",M185="c",N185="b",N185="c"),VLOOKUP("b",'Características dos Cabos'!$D$25:$L$29,9),IF(OR(M185="d",M185="e",N185="d",N185="e"),VLOOKUP("c",'Características dos Cabos'!$D$25:$L$29,9),IF(OR(M185="f",M185="g",M185="h",N185="f",N185="g",N185="h"),VLOOKUP("d",'Características dos Cabos'!$D$25:$L$29,9),IF(OR(M185="i",M185="j",M185="l",M185="m",N185="i",N185="j",N185="l",N185="m"),VLOOKUP("e",'Características dos Cabos'!$D$25:$L$29,9),"")))))</f>
        <v/>
      </c>
      <c r="T185" s="280" t="str">
        <f t="shared" si="70" ref="T185:T194">IF(S185="","",R185*100/S185)</f>
        <v/>
      </c>
      <c r="U185" s="281" t="str">
        <f>IF(OR(M185="a",N185="a"),VLOOKUP("a",'Características dos Cabos'!$D$25:$L$29,3),IF(OR(M185="b",M185="c",N185="b",N185="c"),VLOOKUP("b",'Características dos Cabos'!$D$25:$L$29,3),IF(OR(M185="d",M185="e",N185="d",N185="e"),VLOOKUP("c",'Características dos Cabos'!$D$25:$L$29,3),IF(OR(M185="f",M185="g",M185="h",N185="f",N185="g",N185="h"),VLOOKUP("d",'Características dos Cabos'!$D$25:$L$29,3),IF(OR(M185="i",M185="j",M185="l",M185="m",N185="i",N185="j",N185="l",N185="m"),VLOOKUP("e",'Características dos Cabos'!$D$25:$L$29,3),"")))))</f>
        <v/>
      </c>
      <c r="V185" s="282" t="str">
        <f t="shared" si="71" ref="V185:V194">IF(OR(O185="",$G$16="",H185="",N185=""),"",IF(J185="3",3*$L$12*U185*O185/1000*R185^2*8.76,IF(OR(J185="2",J185="13"),2*$L$12*U185*O185/1000*R185^2*8.76,IF(OR(J185="1",J185="12"),$L$12*U185*O185/1000*R185^2*8.76))))</f>
        <v/>
      </c>
      <c r="W185" s="445" t="e">
        <f>VLOOKUP(C185,$D$21:$Q$43,12,FALSE)</f>
        <v>#N/A</v>
      </c>
      <c r="X185" s="257">
        <f t="shared" si="72" ref="X185:X194">D185</f>
        <v>0</v>
      </c>
      <c r="Y185" s="257">
        <f t="shared" si="73" ref="Y185:Y194">K185</f>
        <v>0</v>
      </c>
      <c r="Z185" s="243"/>
    </row>
    <row r="186" spans="1:26" ht="15" customHeight="1">
      <c r="A186" s="639"/>
      <c r="B186" s="642"/>
      <c r="C186" s="27"/>
      <c r="D186" s="23"/>
      <c r="E186" s="38"/>
      <c r="F186" s="92" t="str">
        <f t="shared" si="45"/>
        <v/>
      </c>
      <c r="G186" s="38"/>
      <c r="H186" s="265" t="str">
        <f>IF(AND(E186="",G186=""),"",SUM(F186:G194))</f>
        <v/>
      </c>
      <c r="J186" s="23"/>
      <c r="K186" s="23"/>
      <c r="L186" s="266" t="str">
        <f>IF(OR(J186="",K186=""),"",IF(J186="3",VLOOKUP(M186,'K% (Rede Convencional)'!$B$18:$M$29,8),(IF(J186="2",VLOOKUP(N186,'K% (Rede Convencional)'!$B$18:$M$29,9),(IF(J186="1",VLOOKUP(N186,'K% (Rede Convencional)'!$B$18:$M$29,10),(IF(J186="13",VLOOKUP(N186,'K% (Rede Convencional)'!$B$18:$M$29,11),(IF(J186="12",VLOOKUP(N186,'K% (Rede Convencional)'!$B$18:$M$29,12),0))))))))))</f>
        <v/>
      </c>
      <c r="M186" s="267" t="str">
        <f t="shared" si="67"/>
        <v/>
      </c>
      <c r="N186" s="267" t="str">
        <f>IF(K186="","",IF(K186="4 (4)","a",IF(OR(K186="2 (4)",K186="2 (2)"),VLOOKUP(K186,BT!$AE$21:$AF$22,2,FALSE),IF(OR(K186="1/0 (4)",K186="1/0 (2)"),VLOOKUP(K186,BT!$AE$24:$AF$25,2,FALSE),IF(OR(K186="4/0 (4)",K186="4/0 (2)",K186="4/0 (1/0)"),VLOOKUP(K186,BT!$AE$27:$AF$29,2,FALSE),IF(OR(K186="336,4 (4)",K186="336,4 (2)",K186="336,4 (1/0)",K186="336,4 (4/0)"),VLOOKUP(K186,BT!$AE$31:$AF$34,2,FALSE),0))))))</f>
        <v/>
      </c>
      <c r="O186" s="38"/>
      <c r="P186" s="268" t="str">
        <f t="shared" si="68"/>
        <v/>
      </c>
      <c r="Q186" s="268" t="str">
        <f>IF(P186="","",SUM($P$45:P186)+$W$115)</f>
        <v/>
      </c>
      <c r="R186" s="268" t="str">
        <f t="shared" si="69"/>
        <v/>
      </c>
      <c r="S186" s="269" t="str">
        <f>IF(OR(M186="a",N186="a"),VLOOKUP("a",'Características dos Cabos'!$D$25:$L$29,9),IF(OR(M186="b",M186="c",N186="b",N186="c"),VLOOKUP("b",'Características dos Cabos'!$D$25:$L$29,9),IF(OR(M186="d",M186="e",N186="d",N186="e"),VLOOKUP("c",'Características dos Cabos'!$D$25:$L$29,9),IF(OR(M186="f",M186="g",M186="h",N186="f",N186="g",N186="h"),VLOOKUP("d",'Características dos Cabos'!$D$25:$L$29,9),IF(OR(M186="i",M186="j",M186="l",M186="m",N186="i",N186="j",N186="l",N186="m"),VLOOKUP("e",'Características dos Cabos'!$D$25:$L$29,9),"")))))</f>
        <v/>
      </c>
      <c r="T186" s="268" t="str">
        <f t="shared" si="70"/>
        <v/>
      </c>
      <c r="U186" s="269" t="str">
        <f>IF(OR(M186="a",N186="a"),VLOOKUP("a",'Características dos Cabos'!$D$25:$L$29,3),IF(OR(M186="b",M186="c",N186="b",N186="c"),VLOOKUP("b",'Características dos Cabos'!$D$25:$L$29,3),IF(OR(M186="d",M186="e",N186="d",N186="e"),VLOOKUP("c",'Características dos Cabos'!$D$25:$L$29,3),IF(OR(M186="f",M186="g",M186="h",N186="f",N186="g",N186="h"),VLOOKUP("d",'Características dos Cabos'!$D$25:$L$29,3),IF(OR(M186="i",M186="j",M186="l",M186="m",N186="i",N186="j",N186="l",N186="m"),VLOOKUP("e",'Características dos Cabos'!$D$25:$L$29,3),"")))))</f>
        <v/>
      </c>
      <c r="V186" s="270" t="str">
        <f t="shared" si="71"/>
        <v/>
      </c>
      <c r="W186" s="243"/>
      <c r="X186" s="257">
        <f t="shared" si="72"/>
        <v>0</v>
      </c>
      <c r="Y186" s="257">
        <f t="shared" si="73"/>
        <v>0</v>
      </c>
      <c r="Z186" s="243"/>
    </row>
    <row r="187" spans="1:26" ht="15" customHeight="1">
      <c r="A187" s="639"/>
      <c r="B187" s="642"/>
      <c r="C187" s="27"/>
      <c r="D187" s="23"/>
      <c r="E187" s="38"/>
      <c r="F187" s="92" t="str">
        <f t="shared" si="45"/>
        <v/>
      </c>
      <c r="G187" s="38"/>
      <c r="H187" s="265" t="str">
        <f>IF(AND(E187="",G187=""),"",SUM(F187:G194))</f>
        <v/>
      </c>
      <c r="J187" s="23"/>
      <c r="K187" s="23"/>
      <c r="L187" s="266" t="str">
        <f>IF(OR(J187="",K187=""),"",IF(J187="3",VLOOKUP(M187,'K% (Rede Convencional)'!$B$18:$M$29,8),(IF(J187="2",VLOOKUP(N187,'K% (Rede Convencional)'!$B$18:$M$29,9),(IF(J187="1",VLOOKUP(N187,'K% (Rede Convencional)'!$B$18:$M$29,10),(IF(J187="13",VLOOKUP(N187,'K% (Rede Convencional)'!$B$18:$M$29,11),(IF(J187="12",VLOOKUP(N187,'K% (Rede Convencional)'!$B$18:$M$29,12),0))))))))))</f>
        <v/>
      </c>
      <c r="M187" s="267" t="str">
        <f t="shared" si="67"/>
        <v/>
      </c>
      <c r="N187" s="267" t="str">
        <f>IF(K187="","",IF(K187="4 (4)","a",IF(OR(K187="2 (4)",K187="2 (2)"),VLOOKUP(K187,BT!$AE$21:$AF$22,2,FALSE),IF(OR(K187="1/0 (4)",K187="1/0 (2)"),VLOOKUP(K187,BT!$AE$24:$AF$25,2,FALSE),IF(OR(K187="4/0 (4)",K187="4/0 (2)",K187="4/0 (1/0)"),VLOOKUP(K187,BT!$AE$27:$AF$29,2,FALSE),IF(OR(K187="336,4 (4)",K187="336,4 (2)",K187="336,4 (1/0)",K187="336,4 (4/0)"),VLOOKUP(K187,BT!$AE$31:$AF$34,2,FALSE),0))))))</f>
        <v/>
      </c>
      <c r="O187" s="38"/>
      <c r="P187" s="268" t="str">
        <f t="shared" si="68"/>
        <v/>
      </c>
      <c r="Q187" s="268" t="str">
        <f>IF(P187="","",SUM($P$45:P187)+$W$115)</f>
        <v/>
      </c>
      <c r="R187" s="268" t="str">
        <f t="shared" si="69"/>
        <v/>
      </c>
      <c r="S187" s="269" t="str">
        <f>IF(OR(M187="a",N187="a"),VLOOKUP("a",'Características dos Cabos'!$D$25:$L$29,9),IF(OR(M187="b",M187="c",N187="b",N187="c"),VLOOKUP("b",'Características dos Cabos'!$D$25:$L$29,9),IF(OR(M187="d",M187="e",N187="d",N187="e"),VLOOKUP("c",'Características dos Cabos'!$D$25:$L$29,9),IF(OR(M187="f",M187="g",M187="h",N187="f",N187="g",N187="h"),VLOOKUP("d",'Características dos Cabos'!$D$25:$L$29,9),IF(OR(M187="i",M187="j",M187="l",M187="m",N187="i",N187="j",N187="l",N187="m"),VLOOKUP("e",'Características dos Cabos'!$D$25:$L$29,9),"")))))</f>
        <v/>
      </c>
      <c r="T187" s="268" t="str">
        <f t="shared" si="70"/>
        <v/>
      </c>
      <c r="U187" s="269" t="str">
        <f>IF(OR(M187="a",N187="a"),VLOOKUP("a",'Características dos Cabos'!$D$25:$L$29,3),IF(OR(M187="b",M187="c",N187="b",N187="c"),VLOOKUP("b",'Características dos Cabos'!$D$25:$L$29,3),IF(OR(M187="d",M187="e",N187="d",N187="e"),VLOOKUP("c",'Características dos Cabos'!$D$25:$L$29,3),IF(OR(M187="f",M187="g",M187="h",N187="f",N187="g",N187="h"),VLOOKUP("d",'Características dos Cabos'!$D$25:$L$29,3),IF(OR(M187="i",M187="j",M187="l",M187="m",N187="i",N187="j",N187="l",N187="m"),VLOOKUP("e",'Características dos Cabos'!$D$25:$L$29,3),"")))))</f>
        <v/>
      </c>
      <c r="V187" s="270" t="str">
        <f t="shared" si="71"/>
        <v/>
      </c>
      <c r="W187" s="243"/>
      <c r="X187" s="257">
        <f t="shared" si="72"/>
        <v>0</v>
      </c>
      <c r="Y187" s="257">
        <f t="shared" si="73"/>
        <v>0</v>
      </c>
      <c r="Z187" s="243"/>
    </row>
    <row r="188" spans="1:26" ht="15" customHeight="1">
      <c r="A188" s="639"/>
      <c r="B188" s="642"/>
      <c r="C188" s="27"/>
      <c r="D188" s="23"/>
      <c r="E188" s="38"/>
      <c r="F188" s="92" t="str">
        <f t="shared" si="45"/>
        <v/>
      </c>
      <c r="G188" s="38"/>
      <c r="H188" s="265" t="str">
        <f>IF(AND(E188="",G188=""),"",SUM(F188:G194))</f>
        <v/>
      </c>
      <c r="J188" s="23"/>
      <c r="K188" s="23"/>
      <c r="L188" s="266" t="str">
        <f>IF(OR(J188="",K188=""),"",IF(J188="3",VLOOKUP(M188,'K% (Rede Convencional)'!$B$18:$M$29,8),(IF(J188="2",VLOOKUP(N188,'K% (Rede Convencional)'!$B$18:$M$29,9),(IF(J188="1",VLOOKUP(N188,'K% (Rede Convencional)'!$B$18:$M$29,10),(IF(J188="13",VLOOKUP(N188,'K% (Rede Convencional)'!$B$18:$M$29,11),(IF(J188="12",VLOOKUP(N188,'K% (Rede Convencional)'!$B$18:$M$29,12),0))))))))))</f>
        <v/>
      </c>
      <c r="M188" s="267" t="str">
        <f t="shared" si="67"/>
        <v/>
      </c>
      <c r="N188" s="267" t="str">
        <f>IF(K188="","",IF(K188="4 (4)","a",IF(OR(K188="2 (4)",K188="2 (2)"),VLOOKUP(K188,BT!$AE$21:$AF$22,2,FALSE),IF(OR(K188="1/0 (4)",K188="1/0 (2)"),VLOOKUP(K188,BT!$AE$24:$AF$25,2,FALSE),IF(OR(K188="4/0 (4)",K188="4/0 (2)",K188="4/0 (1/0)"),VLOOKUP(K188,BT!$AE$27:$AF$29,2,FALSE),IF(OR(K188="336,4 (4)",K188="336,4 (2)",K188="336,4 (1/0)",K188="336,4 (4/0)"),VLOOKUP(K188,BT!$AE$31:$AF$34,2,FALSE),0))))))</f>
        <v/>
      </c>
      <c r="O188" s="38"/>
      <c r="P188" s="268" t="str">
        <f t="shared" si="68"/>
        <v/>
      </c>
      <c r="Q188" s="268" t="str">
        <f>IF(P188="","",SUM($P$45:P188)+$W$115)</f>
        <v/>
      </c>
      <c r="R188" s="268" t="str">
        <f t="shared" si="69"/>
        <v/>
      </c>
      <c r="S188" s="269" t="str">
        <f>IF(OR(M188="a",N188="a"),VLOOKUP("a",'Características dos Cabos'!$D$25:$L$29,9),IF(OR(M188="b",M188="c",N188="b",N188="c"),VLOOKUP("b",'Características dos Cabos'!$D$25:$L$29,9),IF(OR(M188="d",M188="e",N188="d",N188="e"),VLOOKUP("c",'Características dos Cabos'!$D$25:$L$29,9),IF(OR(M188="f",M188="g",M188="h",N188="f",N188="g",N188="h"),VLOOKUP("d",'Características dos Cabos'!$D$25:$L$29,9),IF(OR(M188="i",M188="j",M188="l",M188="m",N188="i",N188="j",N188="l",N188="m"),VLOOKUP("e",'Características dos Cabos'!$D$25:$L$29,9),"")))))</f>
        <v/>
      </c>
      <c r="T188" s="268" t="str">
        <f t="shared" si="70"/>
        <v/>
      </c>
      <c r="U188" s="269" t="str">
        <f>IF(OR(M188="a",N188="a"),VLOOKUP("a",'Características dos Cabos'!$D$25:$L$29,3),IF(OR(M188="b",M188="c",N188="b",N188="c"),VLOOKUP("b",'Características dos Cabos'!$D$25:$L$29,3),IF(OR(M188="d",M188="e",N188="d",N188="e"),VLOOKUP("c",'Características dos Cabos'!$D$25:$L$29,3),IF(OR(M188="f",M188="g",M188="h",N188="f",N188="g",N188="h"),VLOOKUP("d",'Características dos Cabos'!$D$25:$L$29,3),IF(OR(M188="i",M188="j",M188="l",M188="m",N188="i",N188="j",N188="l",N188="m"),VLOOKUP("e",'Características dos Cabos'!$D$25:$L$29,3),"")))))</f>
        <v/>
      </c>
      <c r="V188" s="270" t="str">
        <f t="shared" si="71"/>
        <v/>
      </c>
      <c r="W188" s="243"/>
      <c r="X188" s="257">
        <f t="shared" si="72"/>
        <v>0</v>
      </c>
      <c r="Y188" s="257">
        <f t="shared" si="73"/>
        <v>0</v>
      </c>
      <c r="Z188" s="243"/>
    </row>
    <row r="189" spans="1:26" ht="15" customHeight="1">
      <c r="A189" s="639"/>
      <c r="B189" s="642"/>
      <c r="C189" s="27"/>
      <c r="D189" s="23"/>
      <c r="E189" s="38"/>
      <c r="F189" s="92" t="str">
        <f t="shared" si="45"/>
        <v/>
      </c>
      <c r="G189" s="38"/>
      <c r="H189" s="265" t="str">
        <f>IF(AND(E189="",G189=""),"",SUM(F189:G194))</f>
        <v/>
      </c>
      <c r="J189" s="23"/>
      <c r="K189" s="23"/>
      <c r="L189" s="266" t="str">
        <f>IF(OR(J189="",K189=""),"",IF(J189="3",VLOOKUP(M189,'K% (Rede Convencional)'!$B$18:$M$29,8),(IF(J189="2",VLOOKUP(N189,'K% (Rede Convencional)'!$B$18:$M$29,9),(IF(J189="1",VLOOKUP(N189,'K% (Rede Convencional)'!$B$18:$M$29,10),(IF(J189="13",VLOOKUP(N189,'K% (Rede Convencional)'!$B$18:$M$29,11),(IF(J189="12",VLOOKUP(N189,'K% (Rede Convencional)'!$B$18:$M$29,12),0))))))))))</f>
        <v/>
      </c>
      <c r="M189" s="267" t="str">
        <f t="shared" si="67"/>
        <v/>
      </c>
      <c r="N189" s="267" t="str">
        <f>IF(K189="","",IF(K189="4 (4)","a",IF(OR(K189="2 (4)",K189="2 (2)"),VLOOKUP(K189,BT!$AE$21:$AF$22,2,FALSE),IF(OR(K189="1/0 (4)",K189="1/0 (2)"),VLOOKUP(K189,BT!$AE$24:$AF$25,2,FALSE),IF(OR(K189="4/0 (4)",K189="4/0 (2)",K189="4/0 (1/0)"),VLOOKUP(K189,BT!$AE$27:$AF$29,2,FALSE),IF(OR(K189="336,4 (4)",K189="336,4 (2)",K189="336,4 (1/0)",K189="336,4 (4/0)"),VLOOKUP(K189,BT!$AE$31:$AF$34,2,FALSE),0))))))</f>
        <v/>
      </c>
      <c r="O189" s="38"/>
      <c r="P189" s="268" t="str">
        <f t="shared" si="68"/>
        <v/>
      </c>
      <c r="Q189" s="268" t="str">
        <f>IF(P189="","",SUM($P$45:P189)+$W$115)</f>
        <v/>
      </c>
      <c r="R189" s="268" t="str">
        <f t="shared" si="69"/>
        <v/>
      </c>
      <c r="S189" s="269" t="str">
        <f>IF(OR(M189="a",N189="a"),VLOOKUP("a",'Características dos Cabos'!$D$25:$L$29,9),IF(OR(M189="b",M189="c",N189="b",N189="c"),VLOOKUP("b",'Características dos Cabos'!$D$25:$L$29,9),IF(OR(M189="d",M189="e",N189="d",N189="e"),VLOOKUP("c",'Características dos Cabos'!$D$25:$L$29,9),IF(OR(M189="f",M189="g",M189="h",N189="f",N189="g",N189="h"),VLOOKUP("d",'Características dos Cabos'!$D$25:$L$29,9),IF(OR(M189="i",M189="j",M189="l",M189="m",N189="i",N189="j",N189="l",N189="m"),VLOOKUP("e",'Características dos Cabos'!$D$25:$L$29,9),"")))))</f>
        <v/>
      </c>
      <c r="T189" s="268" t="str">
        <f t="shared" si="70"/>
        <v/>
      </c>
      <c r="U189" s="269" t="str">
        <f>IF(OR(M189="a",N189="a"),VLOOKUP("a",'Características dos Cabos'!$D$25:$L$29,3),IF(OR(M189="b",M189="c",N189="b",N189="c"),VLOOKUP("b",'Características dos Cabos'!$D$25:$L$29,3),IF(OR(M189="d",M189="e",N189="d",N189="e"),VLOOKUP("c",'Características dos Cabos'!$D$25:$L$29,3),IF(OR(M189="f",M189="g",M189="h",N189="f",N189="g",N189="h"),VLOOKUP("d",'Características dos Cabos'!$D$25:$L$29,3),IF(OR(M189="i",M189="j",M189="l",M189="m",N189="i",N189="j",N189="l",N189="m"),VLOOKUP("e",'Características dos Cabos'!$D$25:$L$29,3),"")))))</f>
        <v/>
      </c>
      <c r="V189" s="270" t="str">
        <f t="shared" si="71"/>
        <v/>
      </c>
      <c r="W189" s="243"/>
      <c r="X189" s="257">
        <f t="shared" si="72"/>
        <v>0</v>
      </c>
      <c r="Y189" s="257">
        <f t="shared" si="73"/>
        <v>0</v>
      </c>
      <c r="Z189" s="243"/>
    </row>
    <row r="190" spans="1:26" ht="15" customHeight="1">
      <c r="A190" s="639"/>
      <c r="B190" s="642"/>
      <c r="C190" s="27"/>
      <c r="D190" s="23"/>
      <c r="E190" s="38"/>
      <c r="F190" s="92" t="str">
        <f t="shared" si="45"/>
        <v/>
      </c>
      <c r="G190" s="38"/>
      <c r="H190" s="265" t="str">
        <f>IF(AND(E190="",G190=""),"",SUM(F190:G194))</f>
        <v/>
      </c>
      <c r="J190" s="23"/>
      <c r="K190" s="23"/>
      <c r="L190" s="266" t="str">
        <f>IF(OR(J190="",K190=""),"",IF(J190="3",VLOOKUP(M190,'K% (Rede Convencional)'!$B$18:$M$29,8),(IF(J190="2",VLOOKUP(N190,'K% (Rede Convencional)'!$B$18:$M$29,9),(IF(J190="1",VLOOKUP(N190,'K% (Rede Convencional)'!$B$18:$M$29,10),(IF(J190="13",VLOOKUP(N190,'K% (Rede Convencional)'!$B$18:$M$29,11),(IF(J190="12",VLOOKUP(N190,'K% (Rede Convencional)'!$B$18:$M$29,12),0))))))))))</f>
        <v/>
      </c>
      <c r="M190" s="267" t="str">
        <f t="shared" si="67"/>
        <v/>
      </c>
      <c r="N190" s="267" t="str">
        <f>IF(K190="","",IF(K190="4 (4)","a",IF(OR(K190="2 (4)",K190="2 (2)"),VLOOKUP(K190,BT!$AE$21:$AF$22,2,FALSE),IF(OR(K190="1/0 (4)",K190="1/0 (2)"),VLOOKUP(K190,BT!$AE$24:$AF$25,2,FALSE),IF(OR(K190="4/0 (4)",K190="4/0 (2)",K190="4/0 (1/0)"),VLOOKUP(K190,BT!$AE$27:$AF$29,2,FALSE),IF(OR(K190="336,4 (4)",K190="336,4 (2)",K190="336,4 (1/0)",K190="336,4 (4/0)"),VLOOKUP(K190,BT!$AE$31:$AF$34,2,FALSE),0))))))</f>
        <v/>
      </c>
      <c r="O190" s="38"/>
      <c r="P190" s="268" t="str">
        <f t="shared" si="68"/>
        <v/>
      </c>
      <c r="Q190" s="268" t="str">
        <f>IF(P190="","",SUM($P$45:P190)+$W$115)</f>
        <v/>
      </c>
      <c r="R190" s="268" t="str">
        <f t="shared" si="69"/>
        <v/>
      </c>
      <c r="S190" s="269" t="str">
        <f>IF(OR(M190="a",N190="a"),VLOOKUP("a",'Características dos Cabos'!$D$25:$L$29,9),IF(OR(M190="b",M190="c",N190="b",N190="c"),VLOOKUP("b",'Características dos Cabos'!$D$25:$L$29,9),IF(OR(M190="d",M190="e",N190="d",N190="e"),VLOOKUP("c",'Características dos Cabos'!$D$25:$L$29,9),IF(OR(M190="f",M190="g",M190="h",N190="f",N190="g",N190="h"),VLOOKUP("d",'Características dos Cabos'!$D$25:$L$29,9),IF(OR(M190="i",M190="j",M190="l",M190="m",N190="i",N190="j",N190="l",N190="m"),VLOOKUP("e",'Características dos Cabos'!$D$25:$L$29,9),"")))))</f>
        <v/>
      </c>
      <c r="T190" s="268" t="str">
        <f t="shared" si="70"/>
        <v/>
      </c>
      <c r="U190" s="269" t="str">
        <f>IF(OR(M190="a",N190="a"),VLOOKUP("a",'Características dos Cabos'!$D$25:$L$29,3),IF(OR(M190="b",M190="c",N190="b",N190="c"),VLOOKUP("b",'Características dos Cabos'!$D$25:$L$29,3),IF(OR(M190="d",M190="e",N190="d",N190="e"),VLOOKUP("c",'Características dos Cabos'!$D$25:$L$29,3),IF(OR(M190="f",M190="g",M190="h",N190="f",N190="g",N190="h"),VLOOKUP("d",'Características dos Cabos'!$D$25:$L$29,3),IF(OR(M190="i",M190="j",M190="l",M190="m",N190="i",N190="j",N190="l",N190="m"),VLOOKUP("e",'Características dos Cabos'!$D$25:$L$29,3),"")))))</f>
        <v/>
      </c>
      <c r="V190" s="270" t="str">
        <f t="shared" si="71"/>
        <v/>
      </c>
      <c r="W190" s="243"/>
      <c r="X190" s="257">
        <f t="shared" si="72"/>
        <v>0</v>
      </c>
      <c r="Y190" s="257">
        <f t="shared" si="73"/>
        <v>0</v>
      </c>
      <c r="Z190" s="243"/>
    </row>
    <row r="191" spans="1:26" ht="15" customHeight="1">
      <c r="A191" s="639"/>
      <c r="B191" s="642"/>
      <c r="C191" s="27"/>
      <c r="D191" s="23"/>
      <c r="E191" s="38"/>
      <c r="F191" s="92" t="str">
        <f t="shared" si="45"/>
        <v/>
      </c>
      <c r="G191" s="38"/>
      <c r="H191" s="265" t="str">
        <f>IF(AND(E191="",G191=""),"",SUM(F191:G194))</f>
        <v/>
      </c>
      <c r="J191" s="23"/>
      <c r="K191" s="23"/>
      <c r="L191" s="266" t="str">
        <f>IF(OR(J191="",K191=""),"",IF(J191="3",VLOOKUP(M191,'K% (Rede Convencional)'!$B$18:$M$29,8),(IF(J191="2",VLOOKUP(N191,'K% (Rede Convencional)'!$B$18:$M$29,9),(IF(J191="1",VLOOKUP(N191,'K% (Rede Convencional)'!$B$18:$M$29,10),(IF(J191="13",VLOOKUP(N191,'K% (Rede Convencional)'!$B$18:$M$29,11),(IF(J191="12",VLOOKUP(N191,'K% (Rede Convencional)'!$B$18:$M$29,12),0))))))))))</f>
        <v/>
      </c>
      <c r="M191" s="267" t="str">
        <f t="shared" si="67"/>
        <v/>
      </c>
      <c r="N191" s="267" t="str">
        <f>IF(K191="","",IF(K191="4 (4)","a",IF(OR(K191="2 (4)",K191="2 (2)"),VLOOKUP(K191,BT!$AE$21:$AF$22,2,FALSE),IF(OR(K191="1/0 (4)",K191="1/0 (2)"),VLOOKUP(K191,BT!$AE$24:$AF$25,2,FALSE),IF(OR(K191="4/0 (4)",K191="4/0 (2)",K191="4/0 (1/0)"),VLOOKUP(K191,BT!$AE$27:$AF$29,2,FALSE),IF(OR(K191="336,4 (4)",K191="336,4 (2)",K191="336,4 (1/0)",K191="336,4 (4/0)"),VLOOKUP(K191,BT!$AE$31:$AF$34,2,FALSE),0))))))</f>
        <v/>
      </c>
      <c r="O191" s="38"/>
      <c r="P191" s="268" t="str">
        <f t="shared" si="68"/>
        <v/>
      </c>
      <c r="Q191" s="268" t="str">
        <f>IF(P191="","",SUM($P$45:P191)+$W$115)</f>
        <v/>
      </c>
      <c r="R191" s="268" t="str">
        <f t="shared" si="69"/>
        <v/>
      </c>
      <c r="S191" s="269" t="str">
        <f>IF(OR(M191="a",N191="a"),VLOOKUP("a",'Características dos Cabos'!$D$25:$L$29,9),IF(OR(M191="b",M191="c",N191="b",N191="c"),VLOOKUP("b",'Características dos Cabos'!$D$25:$L$29,9),IF(OR(M191="d",M191="e",N191="d",N191="e"),VLOOKUP("c",'Características dos Cabos'!$D$25:$L$29,9),IF(OR(M191="f",M191="g",M191="h",N191="f",N191="g",N191="h"),VLOOKUP("d",'Características dos Cabos'!$D$25:$L$29,9),IF(OR(M191="i",M191="j",M191="l",M191="m",N191="i",N191="j",N191="l",N191="m"),VLOOKUP("e",'Características dos Cabos'!$D$25:$L$29,9),"")))))</f>
        <v/>
      </c>
      <c r="T191" s="268" t="str">
        <f t="shared" si="70"/>
        <v/>
      </c>
      <c r="U191" s="269" t="str">
        <f>IF(OR(M191="a",N191="a"),VLOOKUP("a",'Características dos Cabos'!$D$25:$L$29,3),IF(OR(M191="b",M191="c",N191="b",N191="c"),VLOOKUP("b",'Características dos Cabos'!$D$25:$L$29,3),IF(OR(M191="d",M191="e",N191="d",N191="e"),VLOOKUP("c",'Características dos Cabos'!$D$25:$L$29,3),IF(OR(M191="f",M191="g",M191="h",N191="f",N191="g",N191="h"),VLOOKUP("d",'Características dos Cabos'!$D$25:$L$29,3),IF(OR(M191="i",M191="j",M191="l",M191="m",N191="i",N191="j",N191="l",N191="m"),VLOOKUP("e",'Características dos Cabos'!$D$25:$L$29,3),"")))))</f>
        <v/>
      </c>
      <c r="V191" s="270" t="str">
        <f t="shared" si="71"/>
        <v/>
      </c>
      <c r="W191" s="243"/>
      <c r="X191" s="257">
        <f t="shared" si="72"/>
        <v>0</v>
      </c>
      <c r="Y191" s="257">
        <f t="shared" si="73"/>
        <v>0</v>
      </c>
      <c r="Z191" s="243"/>
    </row>
    <row r="192" spans="1:26" ht="15" customHeight="1">
      <c r="A192" s="639"/>
      <c r="B192" s="642"/>
      <c r="C192" s="27"/>
      <c r="D192" s="23"/>
      <c r="E192" s="38"/>
      <c r="F192" s="92" t="str">
        <f t="shared" si="45"/>
        <v/>
      </c>
      <c r="G192" s="38"/>
      <c r="H192" s="265" t="str">
        <f>IF(AND(E192="",G192=""),"",SUM(F192:G194))</f>
        <v/>
      </c>
      <c r="J192" s="23"/>
      <c r="K192" s="23"/>
      <c r="L192" s="266" t="str">
        <f>IF(OR(J192="",K192=""),"",IF(J192="3",VLOOKUP(M192,'K% (Rede Convencional)'!$B$18:$M$29,8),(IF(J192="2",VLOOKUP(N192,'K% (Rede Convencional)'!$B$18:$M$29,9),(IF(J192="1",VLOOKUP(N192,'K% (Rede Convencional)'!$B$18:$M$29,10),(IF(J192="13",VLOOKUP(N192,'K% (Rede Convencional)'!$B$18:$M$29,11),(IF(J192="12",VLOOKUP(N192,'K% (Rede Convencional)'!$B$18:$M$29,12),0))))))))))</f>
        <v/>
      </c>
      <c r="M192" s="267" t="str">
        <f t="shared" si="67"/>
        <v/>
      </c>
      <c r="N192" s="267" t="str">
        <f>IF(K192="","",IF(K192="4 (4)","a",IF(OR(K192="2 (4)",K192="2 (2)"),VLOOKUP(K192,BT!$AE$21:$AF$22,2,FALSE),IF(OR(K192="1/0 (4)",K192="1/0 (2)"),VLOOKUP(K192,BT!$AE$24:$AF$25,2,FALSE),IF(OR(K192="4/0 (4)",K192="4/0 (2)",K192="4/0 (1/0)"),VLOOKUP(K192,BT!$AE$27:$AF$29,2,FALSE),IF(OR(K192="336,4 (4)",K192="336,4 (2)",K192="336,4 (1/0)",K192="336,4 (4/0)"),VLOOKUP(K192,BT!$AE$31:$AF$34,2,FALSE),0))))))</f>
        <v/>
      </c>
      <c r="O192" s="38"/>
      <c r="P192" s="268" t="str">
        <f t="shared" si="68"/>
        <v/>
      </c>
      <c r="Q192" s="268" t="str">
        <f>IF(P192="","",SUM($P$45:P192)+$W$115)</f>
        <v/>
      </c>
      <c r="R192" s="268" t="str">
        <f t="shared" si="69"/>
        <v/>
      </c>
      <c r="S192" s="269" t="str">
        <f>IF(OR(M192="a",N192="a"),VLOOKUP("a",'Características dos Cabos'!$D$25:$L$29,9),IF(OR(M192="b",M192="c",N192="b",N192="c"),VLOOKUP("b",'Características dos Cabos'!$D$25:$L$29,9),IF(OR(M192="d",M192="e",N192="d",N192="e"),VLOOKUP("c",'Características dos Cabos'!$D$25:$L$29,9),IF(OR(M192="f",M192="g",M192="h",N192="f",N192="g",N192="h"),VLOOKUP("d",'Características dos Cabos'!$D$25:$L$29,9),IF(OR(M192="i",M192="j",M192="l",M192="m",N192="i",N192="j",N192="l",N192="m"),VLOOKUP("e",'Características dos Cabos'!$D$25:$L$29,9),"")))))</f>
        <v/>
      </c>
      <c r="T192" s="268" t="str">
        <f t="shared" si="70"/>
        <v/>
      </c>
      <c r="U192" s="269" t="str">
        <f>IF(OR(M192="a",N192="a"),VLOOKUP("a",'Características dos Cabos'!$D$25:$L$29,3),IF(OR(M192="b",M192="c",N192="b",N192="c"),VLOOKUP("b",'Características dos Cabos'!$D$25:$L$29,3),IF(OR(M192="d",M192="e",N192="d",N192="e"),VLOOKUP("c",'Características dos Cabos'!$D$25:$L$29,3),IF(OR(M192="f",M192="g",M192="h",N192="f",N192="g",N192="h"),VLOOKUP("d",'Características dos Cabos'!$D$25:$L$29,3),IF(OR(M192="i",M192="j",M192="l",M192="m",N192="i",N192="j",N192="l",N192="m"),VLOOKUP("e",'Características dos Cabos'!$D$25:$L$29,3),"")))))</f>
        <v/>
      </c>
      <c r="V192" s="270" t="str">
        <f t="shared" si="71"/>
        <v/>
      </c>
      <c r="W192" s="243"/>
      <c r="X192" s="257">
        <f t="shared" si="72"/>
        <v>0</v>
      </c>
      <c r="Y192" s="257">
        <f t="shared" si="73"/>
        <v>0</v>
      </c>
      <c r="Z192" s="243"/>
    </row>
    <row r="193" spans="1:26" ht="15" customHeight="1">
      <c r="A193" s="639"/>
      <c r="B193" s="642"/>
      <c r="C193" s="27"/>
      <c r="D193" s="23"/>
      <c r="E193" s="38"/>
      <c r="F193" s="92" t="str">
        <f t="shared" si="45"/>
        <v/>
      </c>
      <c r="G193" s="38"/>
      <c r="H193" s="265" t="str">
        <f>IF(AND(E193="",G193=""),"",SUM(F193:G194))</f>
        <v/>
      </c>
      <c r="J193" s="23"/>
      <c r="K193" s="23"/>
      <c r="L193" s="266" t="str">
        <f>IF(OR(J193="",K193=""),"",IF(J193="3",VLOOKUP(M193,'K% (Rede Convencional)'!$B$18:$M$29,8),(IF(J193="2",VLOOKUP(N193,'K% (Rede Convencional)'!$B$18:$M$29,9),(IF(J193="1",VLOOKUP(N193,'K% (Rede Convencional)'!$B$18:$M$29,10),(IF(J193="13",VLOOKUP(N193,'K% (Rede Convencional)'!$B$18:$M$29,11),(IF(J193="12",VLOOKUP(N193,'K% (Rede Convencional)'!$B$18:$M$29,12),0))))))))))</f>
        <v/>
      </c>
      <c r="M193" s="267" t="str">
        <f t="shared" si="67"/>
        <v/>
      </c>
      <c r="N193" s="267" t="str">
        <f>IF(K193="","",IF(K193="4 (4)","a",IF(OR(K193="2 (4)",K193="2 (2)"),VLOOKUP(K193,BT!$AE$21:$AF$22,2,FALSE),IF(OR(K193="1/0 (4)",K193="1/0 (2)"),VLOOKUP(K193,BT!$AE$24:$AF$25,2,FALSE),IF(OR(K193="4/0 (4)",K193="4/0 (2)",K193="4/0 (1/0)"),VLOOKUP(K193,BT!$AE$27:$AF$29,2,FALSE),IF(OR(K193="336,4 (4)",K193="336,4 (2)",K193="336,4 (1/0)",K193="336,4 (4/0)"),VLOOKUP(K193,BT!$AE$31:$AF$34,2,FALSE),0))))))</f>
        <v/>
      </c>
      <c r="O193" s="38"/>
      <c r="P193" s="268" t="str">
        <f t="shared" si="68"/>
        <v/>
      </c>
      <c r="Q193" s="268" t="str">
        <f>IF(P193="","",SUM($P$45:P193)+$W$115)</f>
        <v/>
      </c>
      <c r="R193" s="268" t="str">
        <f t="shared" si="69"/>
        <v/>
      </c>
      <c r="S193" s="269" t="str">
        <f>IF(OR(M193="a",N193="a"),VLOOKUP("a",'Características dos Cabos'!$D$25:$L$29,9),IF(OR(M193="b",M193="c",N193="b",N193="c"),VLOOKUP("b",'Características dos Cabos'!$D$25:$L$29,9),IF(OR(M193="d",M193="e",N193="d",N193="e"),VLOOKUP("c",'Características dos Cabos'!$D$25:$L$29,9),IF(OR(M193="f",M193="g",M193="h",N193="f",N193="g",N193="h"),VLOOKUP("d",'Características dos Cabos'!$D$25:$L$29,9),IF(OR(M193="i",M193="j",M193="l",M193="m",N193="i",N193="j",N193="l",N193="m"),VLOOKUP("e",'Características dos Cabos'!$D$25:$L$29,9),"")))))</f>
        <v/>
      </c>
      <c r="T193" s="268" t="str">
        <f t="shared" si="70"/>
        <v/>
      </c>
      <c r="U193" s="269" t="str">
        <f>IF(OR(M193="a",N193="a"),VLOOKUP("a",'Características dos Cabos'!$D$25:$L$29,3),IF(OR(M193="b",M193="c",N193="b",N193="c"),VLOOKUP("b",'Características dos Cabos'!$D$25:$L$29,3),IF(OR(M193="d",M193="e",N193="d",N193="e"),VLOOKUP("c",'Características dos Cabos'!$D$25:$L$29,3),IF(OR(M193="f",M193="g",M193="h",N193="f",N193="g",N193="h"),VLOOKUP("d",'Características dos Cabos'!$D$25:$L$29,3),IF(OR(M193="i",M193="j",M193="l",M193="m",N193="i",N193="j",N193="l",N193="m"),VLOOKUP("e",'Características dos Cabos'!$D$25:$L$29,3),"")))))</f>
        <v/>
      </c>
      <c r="V193" s="270" t="str">
        <f t="shared" si="71"/>
        <v/>
      </c>
      <c r="W193" s="243"/>
      <c r="X193" s="257">
        <f t="shared" si="72"/>
        <v>0</v>
      </c>
      <c r="Y193" s="257">
        <f t="shared" si="73"/>
        <v>0</v>
      </c>
      <c r="Z193" s="243"/>
    </row>
    <row r="194" spans="1:26" ht="15" customHeight="1" thickBot="1">
      <c r="A194" s="640"/>
      <c r="B194" s="643"/>
      <c r="C194" s="28"/>
      <c r="D194" s="24"/>
      <c r="E194" s="39"/>
      <c r="F194" s="54" t="str">
        <f t="shared" si="45"/>
        <v/>
      </c>
      <c r="G194" s="39"/>
      <c r="H194" s="286" t="str">
        <f>IF(AND(E194="",G194=""),"",SUM(F194:G194))</f>
        <v/>
      </c>
      <c r="J194" s="24"/>
      <c r="K194" s="24"/>
      <c r="L194" s="287" t="str">
        <f>IF(OR(J194="",K194=""),"",IF(J194="3",VLOOKUP(M194,'K% (Rede Convencional)'!$B$18:$M$29,8),(IF(J194="2",VLOOKUP(N194,'K% (Rede Convencional)'!$B$18:$M$29,9),(IF(J194="1",VLOOKUP(N194,'K% (Rede Convencional)'!$B$18:$M$29,10),(IF(J194="13",VLOOKUP(N194,'K% (Rede Convencional)'!$B$18:$M$29,11),(IF(J194="12",VLOOKUP(N194,'K% (Rede Convencional)'!$B$18:$M$29,12),0))))))))))</f>
        <v/>
      </c>
      <c r="M194" s="288" t="str">
        <f t="shared" si="67"/>
        <v/>
      </c>
      <c r="N194" s="288" t="str">
        <f>IF(K194="","",IF(K194="4 (4)","a",IF(OR(K194="2 (4)",K194="2 (2)"),VLOOKUP(K194,BT!$AE$21:$AF$22,2,FALSE),IF(OR(K194="1/0 (4)",K194="1/0 (2)"),VLOOKUP(K194,BT!$AE$24:$AF$25,2,FALSE),IF(OR(K194="4/0 (4)",K194="4/0 (2)",K194="4/0 (1/0)"),VLOOKUP(K194,BT!$AE$27:$AF$29,2,FALSE),IF(OR(K194="336,4 (4)",K194="336,4 (2)",K194="336,4 (1/0)",K194="336,4 (4/0)"),VLOOKUP(K194,BT!$AE$31:$AF$34,2,FALSE),0))))))</f>
        <v/>
      </c>
      <c r="O194" s="39"/>
      <c r="P194" s="289" t="str">
        <f t="shared" si="68"/>
        <v/>
      </c>
      <c r="Q194" s="289" t="str">
        <f>IF(P194="","",SUM($P$45:P194)+$W$115)</f>
        <v/>
      </c>
      <c r="R194" s="289" t="str">
        <f t="shared" si="69"/>
        <v/>
      </c>
      <c r="S194" s="290" t="str">
        <f>IF(N194="a",VLOOKUP("a",#REF!,9),IF(OR(N194="b",N194="c"),VLOOKUP("b",#REF!,9),IF(OR(N194="d",N194="e"),VLOOKUP("c",#REF!,9),IF(OR(N194="f",N194="g",N194="h"),VLOOKUP("d",#REF!,9),IF(OR(N194="i",N194="j",N194="l",N194="m"),VLOOKUP("e",#REF!,9),"")))))</f>
        <v/>
      </c>
      <c r="T194" s="289" t="str">
        <f t="shared" si="70"/>
        <v/>
      </c>
      <c r="U194" s="290" t="str">
        <f>IF(OR(M194="a",N194="a"),VLOOKUP("a",'Características dos Cabos'!$D$25:$L$29,3),IF(OR(M194="b",M194="c",N194="b",N194="c"),VLOOKUP("b",'Características dos Cabos'!$D$25:$L$29,3),IF(OR(M194="d",M194="e",N194="d",N194="e"),VLOOKUP("c",'Características dos Cabos'!$D$25:$L$29,3),IF(OR(M194="f",M194="g",M194="h",N194="f",N194="g",N194="h"),VLOOKUP("d",'Características dos Cabos'!$D$25:$L$29,3),IF(OR(M194="i",M194="j",M194="l",M194="m",N194="i",N194="j",N194="l",N194="m"),VLOOKUP("e",'Características dos Cabos'!$D$25:$L$29,3),"")))))</f>
        <v/>
      </c>
      <c r="V194" s="291" t="str">
        <f t="shared" si="71"/>
        <v/>
      </c>
      <c r="W194" s="243"/>
      <c r="X194" s="257">
        <f t="shared" si="72"/>
        <v>0</v>
      </c>
      <c r="Y194" s="257">
        <f t="shared" si="73"/>
        <v>0</v>
      </c>
      <c r="Z194" s="243"/>
    </row>
    <row r="195" ht="13.5" thickTop="1"/>
  </sheetData>
  <sheetProtection selectLockedCells="1"/>
  <customSheetViews>
    <customSheetView guid="{adcfddaa-af71-42ce-8fd7-7abb67cb940b}" hiddenColumns="1" printArea="1" scale="60" showGridLines="0" showPageBreaks="1" topLeftCell="A1" view="pageBreakPreview">
      <selection pane="topLeft" activeCell="R12" sqref="R12"/>
      <rowBreaks count="4" manualBreakCount="4">
        <brk id="84" max="21" man="1"/>
        <brk id="114" max="21" man="1"/>
        <brk id="144" max="21" man="1"/>
        <brk id="174" max="21" man="1"/>
      </rowBreaks>
      <colBreaks count="1" manualBreakCount="1">
        <brk id="34" max="1048575" man="1"/>
      </colBreaks>
      <pageMargins left="0" right="0" top="0" bottom="0" header="0" footer="0"/>
      <printOptions horizontalCentered="1"/>
      <pageSetup orientation="landscape" paperSize="9" scale="80" r:id="rId5"/>
      <headerFooter alignWithMargins="0"/>
    </customSheetView>
  </customSheetViews>
  <mergeCells count="63">
    <mergeCell ref="A45:A194"/>
    <mergeCell ref="B45:B54"/>
    <mergeCell ref="B55:B64"/>
    <mergeCell ref="B65:B74"/>
    <mergeCell ref="B75:B84"/>
    <mergeCell ref="B85:B94"/>
    <mergeCell ref="B95:B104"/>
    <mergeCell ref="B105:B114"/>
    <mergeCell ref="B115:B124"/>
    <mergeCell ref="B125:B134"/>
    <mergeCell ref="B135:B144"/>
    <mergeCell ref="B145:B154"/>
    <mergeCell ref="B155:B164"/>
    <mergeCell ref="B165:B174"/>
    <mergeCell ref="B175:B184"/>
    <mergeCell ref="B185:B194"/>
    <mergeCell ref="A3:V3"/>
    <mergeCell ref="A2:V2"/>
    <mergeCell ref="T11:V11"/>
    <mergeCell ref="P9:V9"/>
    <mergeCell ref="C11:D11"/>
    <mergeCell ref="K11:L11"/>
    <mergeCell ref="O11:P11"/>
    <mergeCell ref="Q11:R11"/>
    <mergeCell ref="A6:V6"/>
    <mergeCell ref="I8:N8"/>
    <mergeCell ref="J9:L9"/>
    <mergeCell ref="E18:E19"/>
    <mergeCell ref="G18:G19"/>
    <mergeCell ref="AB19:AC19"/>
    <mergeCell ref="V18:V19"/>
    <mergeCell ref="U18:U19"/>
    <mergeCell ref="T18:T19"/>
    <mergeCell ref="S18:S19"/>
    <mergeCell ref="O18:O19"/>
    <mergeCell ref="J18:J19"/>
    <mergeCell ref="R18:R19"/>
    <mergeCell ref="Q18:Q19"/>
    <mergeCell ref="P18:P19"/>
    <mergeCell ref="K18:K19"/>
    <mergeCell ref="L18:L19"/>
    <mergeCell ref="H18:H19"/>
    <mergeCell ref="Q15:R15"/>
    <mergeCell ref="D8:G8"/>
    <mergeCell ref="P8:V8"/>
    <mergeCell ref="H11:J11"/>
    <mergeCell ref="H13:J13"/>
    <mergeCell ref="E11:G11"/>
    <mergeCell ref="K13:L13"/>
    <mergeCell ref="E15:G15"/>
    <mergeCell ref="C15:D15"/>
    <mergeCell ref="E13:G13"/>
    <mergeCell ref="O15:P15"/>
    <mergeCell ref="O13:P13"/>
    <mergeCell ref="H15:J15"/>
    <mergeCell ref="D9:G9"/>
    <mergeCell ref="C13:D13"/>
    <mergeCell ref="K15:L15"/>
    <mergeCell ref="A20:A43"/>
    <mergeCell ref="B32:B43"/>
    <mergeCell ref="C18:D18"/>
    <mergeCell ref="B20:B31"/>
    <mergeCell ref="C20:D20"/>
  </mergeCells>
  <dataValidations count="3">
    <dataValidation type="list" allowBlank="1" showInputMessage="1" showErrorMessage="1" sqref="D14">
      <formula1>Capa!$T$5:$T$6</formula1>
    </dataValidation>
    <dataValidation type="list" allowBlank="1" showInputMessage="1" showErrorMessage="1" sqref="D16">
      <formula1>Capa!$U$5:$U$6</formula1>
    </dataValidation>
    <dataValidation type="list" allowBlank="1" showInputMessage="1" showErrorMessage="1" sqref="J14">
      <formula1>Capa!$W$5:$W$6</formula1>
    </dataValidation>
  </dataValidations>
  <printOptions horizontalCentered="1"/>
  <pageMargins left="0" right="0" top="0" bottom="0" header="0.511811023622047" footer="0.511811023622047"/>
  <pageSetup orientation="landscape" paperSize="9" scale="80" r:id="rId4"/>
  <headerFooter alignWithMargins="0"/>
  <rowBreaks count="4" manualBreakCount="4">
    <brk id="84" max="21" man="1"/>
    <brk id="114" max="21" man="1"/>
    <brk id="144" max="21" man="1"/>
    <brk id="174" max="21" man="1"/>
  </rowBreaks>
  <colBreaks count="1" manualBreakCount="1">
    <brk id="34" max="1048575" man="1"/>
  </colBreaks>
  <ignoredErrors>
    <ignoredError sqref="Q185 Q175 Q165:Q174 Q96:Q155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2:D5"/>
  <sheetViews>
    <sheetView workbookViewId="0" topLeftCell="A1">
      <selection pane="topLeft" activeCell="D4" sqref="D4"/>
    </sheetView>
  </sheetViews>
  <sheetFormatPr defaultRowHeight="12.75"/>
  <cols>
    <col min="3" max="3" width="9.85714285714286" bestFit="1" customWidth="1"/>
    <col min="4" max="4" width="84.2857142857143" customWidth="1"/>
  </cols>
  <sheetData>
    <row r="2" spans="3:4" ht="12.75">
      <c r="C2" s="542" t="s">
        <v>311</v>
      </c>
      <c r="D2" s="338" t="s">
        <v>312</v>
      </c>
    </row>
    <row r="3" spans="3:4" ht="12.75">
      <c r="C3" s="542" t="s">
        <v>313</v>
      </c>
      <c r="D3" s="544" t="s">
        <v>316</v>
      </c>
    </row>
    <row r="4" spans="3:4" ht="12.75">
      <c r="C4" s="542" t="s">
        <v>314</v>
      </c>
      <c r="D4" s="543">
        <v>8</v>
      </c>
    </row>
    <row r="5" spans="3:4" ht="12.75">
      <c r="C5" s="542" t="s">
        <v>315</v>
      </c>
      <c r="D5" s="545">
        <v>46020</v>
      </c>
    </row>
  </sheetData>
  <sheetProtection algorithmName="SHA-512" hashValue="G4SOWbusqB6rw6tDrdClhkitv2hZX0MeAatmqYhMvVywT/yrSAad1hnaQRSj9pIRzhvPlrseslawdtill2EObA==" saltValue="UEqiacvwimN/qjGoST/KPA==" spinCount="100000" sheet="1" objects="1" scenarios="1" selectLockedCells="1"/>
  <pageMargins left="0.511811024" right="0.511811024" top="0.787401575" bottom="0.787401575" header="0.31496062" footer="0.3149606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1"/>
  <dimension ref="A1:W22"/>
  <sheetViews>
    <sheetView tabSelected="1" workbookViewId="0" topLeftCell="A10">
      <selection pane="topLeft" activeCell="B20" sqref="B20:W20"/>
    </sheetView>
  </sheetViews>
  <sheetFormatPr defaultRowHeight="12.75"/>
  <cols>
    <col min="1" max="1" width="6.57142857142857" customWidth="1"/>
    <col min="23" max="23" width="10.5714285714286" customWidth="1"/>
  </cols>
  <sheetData>
    <row r="1" spans="1:23" ht="12.75">
      <c r="A1" s="434"/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</row>
    <row r="2" spans="1:23" ht="12.75">
      <c r="A2" s="434"/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</row>
    <row r="3" spans="1:23" ht="12.75">
      <c r="A3" s="434"/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</row>
    <row r="4" spans="1:23" ht="12.75">
      <c r="A4" s="434"/>
      <c r="B4" s="434"/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</row>
    <row r="5" spans="1:23" ht="12.75">
      <c r="A5" s="434"/>
      <c r="B5" s="434"/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</row>
    <row r="6" spans="1:23" ht="12.75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</row>
    <row r="7" spans="1:23" ht="12.75">
      <c r="A7" s="434"/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</row>
    <row r="8" spans="1:23" ht="12.75">
      <c r="A8" s="434"/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</row>
    <row r="9" spans="1:23" ht="12.75">
      <c r="A9" s="434"/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</row>
    <row r="10" spans="1:23" ht="18.75">
      <c r="A10" s="644"/>
      <c r="B10" s="644"/>
      <c r="C10" s="644"/>
      <c r="D10" s="644"/>
      <c r="E10" s="644"/>
      <c r="F10" s="644"/>
      <c r="G10" s="644"/>
      <c r="H10" s="644"/>
      <c r="I10" s="644"/>
      <c r="J10" s="644"/>
      <c r="K10" s="644"/>
      <c r="L10" s="644"/>
      <c r="M10" s="644"/>
      <c r="N10" s="644"/>
      <c r="O10" s="644"/>
      <c r="P10" s="644"/>
      <c r="Q10" s="644"/>
      <c r="R10" s="644"/>
      <c r="S10" s="644"/>
      <c r="T10" s="644"/>
      <c r="U10" s="644"/>
      <c r="V10" s="644"/>
      <c r="W10" s="644"/>
    </row>
    <row r="11" spans="1:23" ht="18.75">
      <c r="A11" s="644" t="s">
        <v>97</v>
      </c>
      <c r="B11" s="644"/>
      <c r="C11" s="644"/>
      <c r="D11" s="644"/>
      <c r="E11" s="644"/>
      <c r="F11" s="644"/>
      <c r="G11" s="644"/>
      <c r="H11" s="644"/>
      <c r="I11" s="644"/>
      <c r="J11" s="644"/>
      <c r="K11" s="644"/>
      <c r="L11" s="644"/>
      <c r="M11" s="644"/>
      <c r="N11" s="644"/>
      <c r="O11" s="644"/>
      <c r="P11" s="644"/>
      <c r="Q11" s="644"/>
      <c r="R11" s="644"/>
      <c r="S11" s="644"/>
      <c r="T11" s="644"/>
      <c r="U11" s="644"/>
      <c r="V11" s="644"/>
      <c r="W11" s="644"/>
    </row>
    <row r="12" spans="1:23" ht="18">
      <c r="A12" s="419"/>
      <c r="B12" s="419"/>
      <c r="C12" s="419"/>
      <c r="D12" s="419"/>
      <c r="E12" s="419"/>
      <c r="F12" s="419"/>
      <c r="G12" s="419"/>
      <c r="H12" s="419"/>
      <c r="I12" s="419"/>
      <c r="J12" s="419"/>
      <c r="K12" s="419"/>
      <c r="L12" s="419"/>
      <c r="M12" s="419"/>
      <c r="N12" s="419"/>
      <c r="O12" s="419"/>
      <c r="P12" s="419"/>
      <c r="Q12" s="419"/>
      <c r="R12" s="419"/>
      <c r="S12" s="419"/>
      <c r="T12" s="419"/>
      <c r="U12" s="418"/>
      <c r="V12" s="418"/>
      <c r="W12" s="418"/>
    </row>
    <row r="13" spans="1:23" ht="15">
      <c r="A13" s="588">
        <v>1</v>
      </c>
      <c r="B13" s="645" t="s">
        <v>98</v>
      </c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  <c r="P13" s="645"/>
      <c r="Q13" s="645"/>
      <c r="R13" s="645"/>
      <c r="S13" s="645"/>
      <c r="T13" s="645"/>
      <c r="U13" s="645"/>
      <c r="V13" s="645"/>
      <c r="W13" s="645"/>
    </row>
    <row r="14" spans="1:23" ht="15">
      <c r="A14" s="589">
        <v>2</v>
      </c>
      <c r="B14" s="646" t="s">
        <v>99</v>
      </c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646"/>
      <c r="W14" s="646"/>
    </row>
    <row r="15" spans="1:23" ht="15">
      <c r="A15" s="588">
        <v>3</v>
      </c>
      <c r="B15" s="645" t="s">
        <v>318</v>
      </c>
      <c r="C15" s="645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  <c r="P15" s="645"/>
      <c r="Q15" s="645"/>
      <c r="R15" s="645"/>
      <c r="S15" s="645"/>
      <c r="T15" s="645"/>
      <c r="U15" s="645"/>
      <c r="V15" s="645"/>
      <c r="W15" s="645"/>
    </row>
    <row r="16" spans="1:23" ht="15">
      <c r="A16" s="588">
        <v>4</v>
      </c>
      <c r="B16" s="645" t="s">
        <v>317</v>
      </c>
      <c r="C16" s="645"/>
      <c r="D16" s="645"/>
      <c r="E16" s="645"/>
      <c r="F16" s="645"/>
      <c r="G16" s="645"/>
      <c r="H16" s="645"/>
      <c r="I16" s="645"/>
      <c r="J16" s="645"/>
      <c r="K16" s="645"/>
      <c r="L16" s="645"/>
      <c r="M16" s="645"/>
      <c r="N16" s="645"/>
      <c r="O16" s="645"/>
      <c r="P16" s="645"/>
      <c r="Q16" s="645"/>
      <c r="R16" s="645"/>
      <c r="S16" s="645"/>
      <c r="T16" s="645"/>
      <c r="U16" s="645"/>
      <c r="V16" s="645"/>
      <c r="W16" s="645"/>
    </row>
    <row r="17" spans="1:23" ht="15">
      <c r="A17" s="588">
        <v>5</v>
      </c>
      <c r="B17" s="645" t="s">
        <v>319</v>
      </c>
      <c r="C17" s="645"/>
      <c r="D17" s="645"/>
      <c r="E17" s="645"/>
      <c r="F17" s="645"/>
      <c r="G17" s="645"/>
      <c r="H17" s="645"/>
      <c r="I17" s="645"/>
      <c r="J17" s="645"/>
      <c r="K17" s="645"/>
      <c r="L17" s="645"/>
      <c r="M17" s="645"/>
      <c r="N17" s="645"/>
      <c r="O17" s="645"/>
      <c r="P17" s="645"/>
      <c r="Q17" s="645"/>
      <c r="R17" s="645"/>
      <c r="S17" s="645"/>
      <c r="T17" s="645"/>
      <c r="U17" s="645"/>
      <c r="V17" s="645"/>
      <c r="W17" s="645"/>
    </row>
    <row r="18" spans="1:23" ht="15">
      <c r="A18" s="588">
        <v>6</v>
      </c>
      <c r="B18" s="645" t="s">
        <v>320</v>
      </c>
      <c r="C18" s="645"/>
      <c r="D18" s="645"/>
      <c r="E18" s="645"/>
      <c r="F18" s="645"/>
      <c r="G18" s="645"/>
      <c r="H18" s="645"/>
      <c r="I18" s="645"/>
      <c r="J18" s="645"/>
      <c r="K18" s="645"/>
      <c r="L18" s="645"/>
      <c r="M18" s="645"/>
      <c r="N18" s="645"/>
      <c r="O18" s="645"/>
      <c r="P18" s="645"/>
      <c r="Q18" s="645"/>
      <c r="R18" s="645"/>
      <c r="S18" s="645"/>
      <c r="T18" s="645"/>
      <c r="U18" s="645"/>
      <c r="V18" s="645"/>
      <c r="W18" s="645"/>
    </row>
    <row r="19" spans="1:23" ht="15">
      <c r="A19" s="588">
        <v>7</v>
      </c>
      <c r="B19" s="645" t="s">
        <v>321</v>
      </c>
      <c r="C19" s="645"/>
      <c r="D19" s="645"/>
      <c r="E19" s="645"/>
      <c r="F19" s="645"/>
      <c r="G19" s="645"/>
      <c r="H19" s="645"/>
      <c r="I19" s="645"/>
      <c r="J19" s="645"/>
      <c r="K19" s="645"/>
      <c r="L19" s="645"/>
      <c r="M19" s="645"/>
      <c r="N19" s="645"/>
      <c r="O19" s="645"/>
      <c r="P19" s="645"/>
      <c r="Q19" s="645"/>
      <c r="R19" s="645"/>
      <c r="S19" s="645"/>
      <c r="T19" s="645"/>
      <c r="U19" s="645"/>
      <c r="V19" s="645"/>
      <c r="W19" s="645"/>
    </row>
    <row r="20" spans="1:23" ht="15">
      <c r="A20" s="588">
        <v>8</v>
      </c>
      <c r="B20" s="645" t="s">
        <v>322</v>
      </c>
      <c r="C20" s="645"/>
      <c r="D20" s="645"/>
      <c r="E20" s="645"/>
      <c r="F20" s="645"/>
      <c r="G20" s="645"/>
      <c r="H20" s="645"/>
      <c r="I20" s="645"/>
      <c r="J20" s="645"/>
      <c r="K20" s="645"/>
      <c r="L20" s="645"/>
      <c r="M20" s="645"/>
      <c r="N20" s="645"/>
      <c r="O20" s="645"/>
      <c r="P20" s="645"/>
      <c r="Q20" s="645"/>
      <c r="R20" s="645"/>
      <c r="S20" s="645"/>
      <c r="T20" s="645"/>
      <c r="U20" s="645"/>
      <c r="V20" s="645"/>
      <c r="W20" s="645"/>
    </row>
    <row r="21" spans="1:23" ht="15">
      <c r="A21" s="588">
        <v>9</v>
      </c>
      <c r="B21" s="645" t="s">
        <v>323</v>
      </c>
      <c r="C21" s="645"/>
      <c r="D21" s="645"/>
      <c r="E21" s="645"/>
      <c r="F21" s="645"/>
      <c r="G21" s="645"/>
      <c r="H21" s="645"/>
      <c r="I21" s="645"/>
      <c r="J21" s="645"/>
      <c r="K21" s="645"/>
      <c r="L21" s="645"/>
      <c r="M21" s="645"/>
      <c r="N21" s="645"/>
      <c r="O21" s="645"/>
      <c r="P21" s="645"/>
      <c r="Q21" s="645"/>
      <c r="R21" s="645"/>
      <c r="S21" s="645"/>
      <c r="T21" s="645"/>
      <c r="U21" s="645"/>
      <c r="V21" s="645"/>
      <c r="W21" s="645"/>
    </row>
    <row r="22" spans="1:23" ht="15">
      <c r="A22" s="588">
        <v>10</v>
      </c>
      <c r="B22" s="645" t="s">
        <v>100</v>
      </c>
      <c r="C22" s="645"/>
      <c r="D22" s="645"/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645"/>
      <c r="U22" s="645"/>
      <c r="V22" s="645"/>
      <c r="W22" s="645"/>
    </row>
  </sheetData>
  <sheetProtection algorithmName="SHA-512" hashValue="VnDSnQfIQ/tT/QvumHUiqJbUVmB+ppmMJkFQrtPVedLSD9UX4AjFpR4vBe00Ht7Z+U0iST8Zl5w5XBm4WQsNHA==" saltValue="Jlohrw1gg3tRU0XV3VqVYw==" spinCount="100000" sheet="1" objects="1" scenarios="1"/>
  <mergeCells count="13">
    <mergeCell ref="B22:W22"/>
    <mergeCell ref="B16:W16"/>
    <mergeCell ref="B17:W17"/>
    <mergeCell ref="B15:W15"/>
    <mergeCell ref="B14:W14"/>
    <mergeCell ref="A10:T10"/>
    <mergeCell ref="U10:W10"/>
    <mergeCell ref="A11:W11"/>
    <mergeCell ref="B20:W20"/>
    <mergeCell ref="B21:W21"/>
    <mergeCell ref="B13:W13"/>
    <mergeCell ref="B18:W18"/>
    <mergeCell ref="B19:W19"/>
  </mergeCells>
  <pageMargins left="0.511811024" right="0.511811024" top="0.787401575" bottom="0.787401575" header="0.31496062" footer="0.3149606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8"/>
  <dimension ref="A1:AR197"/>
  <sheetViews>
    <sheetView showGridLines="0" showZeros="0" zoomScale="80" zoomScaleNormal="80" zoomScaleSheetLayoutView="80" workbookViewId="0" topLeftCell="A16">
      <selection pane="topLeft" activeCell="D38" sqref="D38"/>
    </sheetView>
  </sheetViews>
  <sheetFormatPr defaultColWidth="9.28428571428571" defaultRowHeight="12.75"/>
  <cols>
    <col min="1" max="2" width="3.42857142857143" customWidth="1"/>
    <col min="3" max="3" width="14.2857142857143" customWidth="1"/>
    <col min="4" max="4" width="11.1428571428571" customWidth="1"/>
    <col min="5" max="5" width="13.2857142857143" customWidth="1"/>
    <col min="6" max="6" width="14" hidden="1" customWidth="1"/>
    <col min="7" max="7" width="16.7142857142857" customWidth="1"/>
    <col min="8" max="8" width="10.2857142857143" customWidth="1"/>
    <col min="9" max="9" width="2.71428571428571" hidden="1" customWidth="1"/>
    <col min="10" max="10" width="11.2857142857143" customWidth="1"/>
    <col min="11" max="11" width="12.2857142857143" customWidth="1"/>
    <col min="12" max="12" width="10.7142857142857" customWidth="1"/>
    <col min="13" max="13" width="9.28571428571429" style="1" hidden="1" customWidth="1"/>
    <col min="14" max="14" width="13.5714285714286" customWidth="1"/>
    <col min="15" max="15" width="13.7142857142857" customWidth="1"/>
    <col min="16" max="16" width="12.5714285714286" customWidth="1"/>
    <col min="17" max="17" width="16.7142857142857" customWidth="1"/>
    <col min="18" max="18" width="13.2857142857143" hidden="1" customWidth="1"/>
    <col min="19" max="19" width="13.7142857142857" hidden="1" customWidth="1"/>
    <col min="20" max="20" width="11.7142857142857" customWidth="1"/>
    <col min="21" max="22" width="9.28571428571429" hidden="1" customWidth="1"/>
    <col min="23" max="23" width="10.2857142857143" hidden="1" customWidth="1"/>
    <col min="24" max="24" width="11.5714285714286" hidden="1" customWidth="1"/>
    <col min="25" max="25" width="17.7142857142857" customWidth="1"/>
    <col min="26" max="26" width="37.1428571428571" style="393" hidden="1" customWidth="1"/>
    <col min="27" max="27" width="13.2857142857143" style="393" hidden="1" customWidth="1"/>
    <col min="28" max="28" width="17.7142857142857" style="393" hidden="1" customWidth="1"/>
    <col min="29" max="29" width="11.2857142857143" style="393" hidden="1" customWidth="1"/>
    <col min="30" max="30" width="14.1428571428571" style="393" hidden="1" customWidth="1"/>
    <col min="31" max="31" width="14.5714285714286" style="393" hidden="1" customWidth="1"/>
    <col min="32" max="32" width="15.8571428571429" style="393" hidden="1" customWidth="1"/>
    <col min="33" max="33" width="12.5714285714286" style="393" hidden="1" customWidth="1"/>
    <col min="34" max="34" width="18.5714285714286" style="393" hidden="1" customWidth="1"/>
    <col min="35" max="35" width="15.5714285714286" style="393" customWidth="1"/>
    <col min="36" max="36" width="12.4285714285714" style="393" customWidth="1"/>
    <col min="37" max="37" width="15" style="393" customWidth="1"/>
    <col min="38" max="38" width="16.7142857142857" style="393" customWidth="1"/>
    <col min="39" max="39" width="13.5714285714286" style="393" customWidth="1"/>
    <col min="40" max="40" width="11.4285714285714" style="393" customWidth="1"/>
    <col min="41" max="41" width="9.85714285714286" style="393" hidden="1" customWidth="1"/>
    <col min="42" max="42" width="12.1428571428571" style="393" hidden="1" customWidth="1"/>
    <col min="43" max="43" width="12.5714285714286" style="393" hidden="1" customWidth="1"/>
    <col min="44" max="44" width="15" style="393" hidden="1" customWidth="1"/>
    <col min="45" max="45" width="11.4285714285714" style="393" customWidth="1"/>
    <col min="46" max="73" width="9.28571428571429" customWidth="1"/>
    <col min="16384" max="16384" width="15.7142857142857" customWidth="1"/>
  </cols>
  <sheetData>
    <row r="1" spans="1:27" ht="18">
      <c r="A1" s="591"/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AA1" s="393">
        <v>0</v>
      </c>
    </row>
    <row r="2" spans="1:25" ht="20.25">
      <c r="A2" s="632" t="s">
        <v>4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</row>
    <row r="4" ht="12" customHeight="1"/>
    <row r="5" spans="1:36" ht="20.25">
      <c r="A5" s="632" t="s">
        <v>101</v>
      </c>
      <c r="B5" s="632"/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2"/>
      <c r="V5" s="632"/>
      <c r="W5" s="632"/>
      <c r="X5" s="632"/>
      <c r="Y5" s="632"/>
      <c r="AJ5" s="394"/>
    </row>
    <row r="6" spans="1:36" ht="12" customHeight="1" thickBot="1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AJ6" s="394"/>
    </row>
    <row r="7" spans="1:25" ht="16.5" customHeight="1">
      <c r="A7" s="2"/>
      <c r="B7" s="2"/>
      <c r="C7" s="327" t="s">
        <v>6</v>
      </c>
      <c r="D7" s="655"/>
      <c r="E7" s="656"/>
      <c r="F7" s="656"/>
      <c r="G7" s="657"/>
      <c r="H7" s="179" t="s">
        <v>7</v>
      </c>
      <c r="I7" s="658"/>
      <c r="J7" s="658"/>
      <c r="K7" s="658"/>
      <c r="L7" s="658"/>
      <c r="M7" s="658"/>
      <c r="N7" s="658"/>
      <c r="O7" s="181" t="s">
        <v>8</v>
      </c>
      <c r="P7" s="658"/>
      <c r="Q7" s="658"/>
      <c r="R7" s="658"/>
      <c r="S7" s="658"/>
      <c r="T7" s="658"/>
      <c r="U7" s="658"/>
      <c r="V7" s="658"/>
      <c r="W7" s="658"/>
      <c r="X7" s="658"/>
      <c r="Y7" s="682"/>
    </row>
    <row r="8" spans="1:34" ht="15" customHeight="1" thickBot="1">
      <c r="A8" s="2"/>
      <c r="B8" s="2"/>
      <c r="C8" s="328" t="s">
        <v>9</v>
      </c>
      <c r="D8" s="652"/>
      <c r="E8" s="653"/>
      <c r="F8" s="653"/>
      <c r="G8" s="654"/>
      <c r="H8" s="180" t="s">
        <v>102</v>
      </c>
      <c r="I8" s="446"/>
      <c r="J8" s="683"/>
      <c r="K8" s="683"/>
      <c r="L8" s="683"/>
      <c r="M8" s="683"/>
      <c r="N8" s="683"/>
      <c r="O8" s="329" t="s">
        <v>11</v>
      </c>
      <c r="P8" s="683"/>
      <c r="Q8" s="683"/>
      <c r="R8" s="683"/>
      <c r="S8" s="683"/>
      <c r="T8" s="683"/>
      <c r="U8" s="683"/>
      <c r="V8" s="683"/>
      <c r="W8" s="683"/>
      <c r="X8" s="683"/>
      <c r="Y8" s="684"/>
      <c r="AE8" s="420"/>
      <c r="AF8" s="420"/>
      <c r="AG8" s="420"/>
      <c r="AH8" s="420"/>
    </row>
    <row r="9" spans="1:34" ht="5.25" customHeight="1" thickBo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171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394"/>
      <c r="AA9" s="394"/>
      <c r="AB9" s="394"/>
      <c r="AC9" s="394"/>
      <c r="AD9" s="394"/>
      <c r="AE9" s="421"/>
      <c r="AF9" s="421"/>
      <c r="AG9" s="420"/>
      <c r="AH9" s="420"/>
    </row>
    <row r="10" spans="1:34" ht="39.95" customHeight="1" thickBot="1">
      <c r="A10" s="2"/>
      <c r="B10" s="2"/>
      <c r="C10" s="673" t="s">
        <v>12</v>
      </c>
      <c r="D10" s="674"/>
      <c r="E10" s="702" t="s">
        <v>103</v>
      </c>
      <c r="F10" s="703"/>
      <c r="G10" s="704"/>
      <c r="H10" s="675" t="s">
        <v>14</v>
      </c>
      <c r="I10" s="675"/>
      <c r="J10" s="676"/>
      <c r="K10" s="681" t="s">
        <v>104</v>
      </c>
      <c r="L10" s="676"/>
      <c r="M10" s="351"/>
      <c r="N10" s="679" t="s">
        <v>33</v>
      </c>
      <c r="O10" s="679"/>
      <c r="P10" s="679" t="s">
        <v>17</v>
      </c>
      <c r="Q10" s="679"/>
      <c r="R10" s="229"/>
      <c r="S10" s="229"/>
      <c r="T10" s="680" t="s">
        <v>18</v>
      </c>
      <c r="U10" s="675"/>
      <c r="V10" s="675"/>
      <c r="W10" s="675"/>
      <c r="X10" s="675"/>
      <c r="Y10" s="676"/>
      <c r="Z10" s="398"/>
      <c r="AA10" s="399"/>
      <c r="AB10" s="400"/>
      <c r="AE10" s="420"/>
      <c r="AF10" s="420"/>
      <c r="AG10" s="420"/>
      <c r="AH10" s="420"/>
    </row>
    <row r="11" spans="1:34" ht="13.5" thickBot="1">
      <c r="A11" s="2"/>
      <c r="B11" s="2"/>
      <c r="C11" s="435" t="s">
        <v>105</v>
      </c>
      <c r="D11" s="437"/>
      <c r="E11" s="705" t="str">
        <f>IF(D11="","",VLOOKUP(D11,AP49:AQ111,2,TRUE))</f>
        <v/>
      </c>
      <c r="F11" s="706"/>
      <c r="G11" s="462">
        <v>0</v>
      </c>
      <c r="H11" s="436"/>
      <c r="I11" s="2"/>
      <c r="J11" s="167"/>
      <c r="L11" s="226"/>
      <c r="M11" s="171"/>
      <c r="N11" s="2"/>
      <c r="O11" s="227" t="str">
        <f>IF(OR(H19="",H33=""),"",SUM(F19:G194))</f>
        <v/>
      </c>
      <c r="P11" s="155" t="s">
        <v>19</v>
      </c>
      <c r="Q11" s="228" t="str">
        <f>IF(T20="","",MAX(T20:T195))</f>
        <v/>
      </c>
      <c r="R11" s="2"/>
      <c r="S11" s="2"/>
      <c r="T11" s="171" t="s">
        <v>19</v>
      </c>
      <c r="U11" s="171"/>
      <c r="V11" s="171"/>
      <c r="W11" s="1"/>
      <c r="X11" s="172"/>
      <c r="Y11" s="173" t="str">
        <f>IF(P20="","",MAX(P20:P195))</f>
        <v/>
      </c>
      <c r="Z11" s="401"/>
      <c r="AA11" s="402"/>
      <c r="AB11" s="403"/>
      <c r="AE11" s="420"/>
      <c r="AF11" s="420"/>
      <c r="AG11" s="420"/>
      <c r="AH11" s="420"/>
    </row>
    <row r="12" spans="1:34" ht="13.5" thickBot="1">
      <c r="A12" s="2"/>
      <c r="B12" s="2"/>
      <c r="C12" s="677" t="s">
        <v>106</v>
      </c>
      <c r="D12" s="678"/>
      <c r="E12" s="666" t="s">
        <v>21</v>
      </c>
      <c r="F12" s="666"/>
      <c r="G12" s="666"/>
      <c r="H12" s="667" t="s">
        <v>107</v>
      </c>
      <c r="I12" s="668"/>
      <c r="J12" s="669"/>
      <c r="K12" s="667" t="s">
        <v>15</v>
      </c>
      <c r="L12" s="669"/>
      <c r="M12" s="171"/>
      <c r="N12" s="671" t="s">
        <v>16</v>
      </c>
      <c r="O12" s="672"/>
      <c r="P12" s="155" t="s">
        <v>25</v>
      </c>
      <c r="Q12" s="170" t="str">
        <f>IF(Q11="","",VLOOKUP(Q11,T20:AA195,8,FALSE))</f>
        <v/>
      </c>
      <c r="R12" s="2"/>
      <c r="S12" s="2"/>
      <c r="T12" s="171" t="s">
        <v>25</v>
      </c>
      <c r="U12" s="171"/>
      <c r="V12" s="171"/>
      <c r="W12" s="1"/>
      <c r="X12" s="174"/>
      <c r="Y12" s="170" t="str">
        <f>IF(Y11="","",VLOOKUP(Y11,P20:AA195,12,FALSE))</f>
        <v/>
      </c>
      <c r="Z12" s="401"/>
      <c r="AA12" s="404" t="s">
        <v>108</v>
      </c>
      <c r="AB12" s="405" t="s">
        <v>109</v>
      </c>
      <c r="AE12" s="420"/>
      <c r="AF12" s="420"/>
      <c r="AG12" s="420"/>
      <c r="AH12" s="420"/>
    </row>
    <row r="13" spans="1:34" ht="13.5" customHeight="1" thickBot="1">
      <c r="A13" s="2"/>
      <c r="B13" s="2"/>
      <c r="C13" s="156" t="s">
        <v>28</v>
      </c>
      <c r="D13" s="226"/>
      <c r="E13" s="2"/>
      <c r="G13" s="428"/>
      <c r="I13" s="2"/>
      <c r="J13" s="166"/>
      <c r="L13" s="442" t="str">
        <f>IF(G15="","",(0.7*(G15)^2)+(0.3*G15))</f>
        <v/>
      </c>
      <c r="M13" s="171"/>
      <c r="O13" s="169" t="str">
        <f>IF(OR(L15="",O11=""),"",L15/(G15*O11*G13*8760))</f>
        <v/>
      </c>
      <c r="P13" s="155" t="s">
        <v>29</v>
      </c>
      <c r="Q13" s="170" t="str">
        <f>IF(Q11="","",VLOOKUP(Q11,T20:AB195,9,FALSE))</f>
        <v/>
      </c>
      <c r="R13" s="2"/>
      <c r="S13" s="2"/>
      <c r="T13" s="171" t="s">
        <v>29</v>
      </c>
      <c r="U13" s="171"/>
      <c r="V13" s="171"/>
      <c r="W13" s="1"/>
      <c r="X13" s="174"/>
      <c r="Y13" s="175" t="str">
        <f>IF(Y12="","",VLOOKUP(Y12,AA19:AB195,2,FALSE))</f>
        <v/>
      </c>
      <c r="Z13" s="401"/>
      <c r="AA13" s="406" t="b">
        <f>IF(AND($O$15&gt;=0,$O$15&lt;17),15,(IF(AND($O$15&gt;=18,$O$15&lt;34),30,(IF(AND($O$15&gt;=35,$O$15&lt;52),45,(IF(AND($O$15&gt;=53,$O$15&lt;87),75,(IF(AND($O$15&gt;=88,$O$15&lt;130),112.5,(IF(AND($O$15&gt;=131,$O$15&lt;175),150)))))))))))</f>
        <v>0</v>
      </c>
      <c r="AB13" s="407" t="b">
        <f>IF(AND($O$15&gt;=0,$O$15&lt;18),15,(IF(AND($O$15&gt;=19,$O$15&lt;36),30,(IF(AND($O$15&gt;=37,$O$15&lt;54),45,(IF(AND($O$15&gt;=55,$O$15&lt;90),75,(IF(AND($O$15&gt;=91,$O$15&lt;135),112.5,(IF(AND($O$15&gt;=136,$O$15&lt;180),150)))))))))))</f>
        <v>0</v>
      </c>
      <c r="AE13" s="420"/>
      <c r="AF13" s="420"/>
      <c r="AG13" s="420"/>
      <c r="AH13" s="420"/>
    </row>
    <row r="14" spans="1:34" ht="14.25" customHeight="1" thickBot="1">
      <c r="A14" s="2"/>
      <c r="B14" s="2"/>
      <c r="C14" s="671" t="s">
        <v>30</v>
      </c>
      <c r="D14" s="671"/>
      <c r="E14" s="671" t="s">
        <v>31</v>
      </c>
      <c r="F14" s="671"/>
      <c r="G14" s="671"/>
      <c r="H14" s="667" t="s">
        <v>32</v>
      </c>
      <c r="I14" s="668"/>
      <c r="J14" s="669"/>
      <c r="K14" s="671" t="s">
        <v>23</v>
      </c>
      <c r="L14" s="672"/>
      <c r="M14" s="171"/>
      <c r="N14" s="694" t="s">
        <v>24</v>
      </c>
      <c r="O14" s="669"/>
      <c r="P14" s="671" t="s">
        <v>34</v>
      </c>
      <c r="Q14" s="672"/>
      <c r="R14" s="2"/>
      <c r="S14" s="2"/>
      <c r="T14" s="664" t="s">
        <v>35</v>
      </c>
      <c r="U14" s="670"/>
      <c r="V14" s="670"/>
      <c r="W14" s="670"/>
      <c r="X14" s="670"/>
      <c r="Y14" s="665"/>
      <c r="Z14" s="401"/>
      <c r="AA14" s="402"/>
      <c r="AB14" s="403"/>
      <c r="AE14" s="420"/>
      <c r="AF14" s="420"/>
      <c r="AG14" s="420"/>
      <c r="AH14" s="420"/>
    </row>
    <row r="15" spans="1:34" ht="13.5" customHeight="1" thickBot="1">
      <c r="A15" s="2"/>
      <c r="B15" s="2"/>
      <c r="C15" s="156" t="s">
        <v>28</v>
      </c>
      <c r="D15" s="226"/>
      <c r="E15" s="2"/>
      <c r="G15" s="226"/>
      <c r="H15" s="157" t="s">
        <v>36</v>
      </c>
      <c r="I15" s="2"/>
      <c r="J15" s="165"/>
      <c r="L15" s="168" t="str">
        <f>IF(Y20="","",SUM(Y20:Y125))</f>
        <v/>
      </c>
      <c r="M15" s="171"/>
      <c r="O15" s="443" t="str">
        <f>IF(O11="","",SUM(AE19:AF144))</f>
        <v/>
      </c>
      <c r="P15" s="430" t="s">
        <v>37</v>
      </c>
      <c r="Q15" s="330" t="str">
        <f>IF(O15="","",IF(O15&lt;=75,75,IF(AND(O15&gt;75,O15&lt;=112.5),112.5,IF(O15&gt;112.5,"Dividir Área BT"))))</f>
        <v/>
      </c>
      <c r="R15" s="2"/>
      <c r="S15" s="2"/>
      <c r="T15" s="429" t="s">
        <v>38</v>
      </c>
      <c r="U15" s="171"/>
      <c r="V15" s="171"/>
      <c r="W15" s="1"/>
      <c r="X15" s="176"/>
      <c r="Y15" s="177" t="str">
        <f>IF(AND(N20="",N33=""),"",MAX(AC20:AC44))</f>
        <v/>
      </c>
      <c r="Z15" s="401"/>
      <c r="AA15" s="402"/>
      <c r="AB15" s="403"/>
      <c r="AC15" s="393">
        <f>34/(1.73*0.22)</f>
        <v>89.332632685233847</v>
      </c>
      <c r="AE15" s="420"/>
      <c r="AF15" s="420"/>
      <c r="AG15" s="420"/>
      <c r="AH15" s="420"/>
    </row>
    <row r="16" spans="1:34" ht="8.25" customHeight="1" thickBot="1">
      <c r="A16" s="2"/>
      <c r="B16" s="2"/>
      <c r="C16" s="2"/>
      <c r="D16" s="2"/>
      <c r="E16" s="2"/>
      <c r="F16" s="2"/>
      <c r="G16" s="2"/>
      <c r="H16" s="2"/>
      <c r="I16" s="2"/>
      <c r="J16" s="2"/>
      <c r="K16" s="158"/>
      <c r="M16" s="171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401"/>
      <c r="AA16" s="402"/>
      <c r="AB16" s="403"/>
      <c r="AE16" s="420"/>
      <c r="AF16" s="420"/>
      <c r="AG16" s="420"/>
      <c r="AH16" s="420"/>
    </row>
    <row r="17" spans="1:34" ht="20.25" customHeight="1" thickBot="1">
      <c r="A17" s="2"/>
      <c r="B17" s="2"/>
      <c r="C17" s="664" t="s">
        <v>39</v>
      </c>
      <c r="D17" s="665"/>
      <c r="E17" s="692" t="s">
        <v>40</v>
      </c>
      <c r="F17" s="159"/>
      <c r="G17" s="647" t="s">
        <v>110</v>
      </c>
      <c r="H17" s="688" t="s">
        <v>42</v>
      </c>
      <c r="I17" s="585"/>
      <c r="J17" s="647" t="s">
        <v>43</v>
      </c>
      <c r="K17" s="647" t="s">
        <v>44</v>
      </c>
      <c r="L17" s="692" t="s">
        <v>111</v>
      </c>
      <c r="M17" s="586"/>
      <c r="N17" s="647" t="s">
        <v>112</v>
      </c>
      <c r="O17" s="647" t="s">
        <v>113</v>
      </c>
      <c r="P17" s="647" t="s">
        <v>48</v>
      </c>
      <c r="Q17" s="647" t="s">
        <v>49</v>
      </c>
      <c r="R17" s="628" t="s">
        <v>114</v>
      </c>
      <c r="S17" s="628" t="s">
        <v>115</v>
      </c>
      <c r="T17" s="692" t="s">
        <v>116</v>
      </c>
      <c r="U17" s="626" t="s">
        <v>117</v>
      </c>
      <c r="V17" s="546" t="s">
        <v>52</v>
      </c>
      <c r="W17" s="690" t="s">
        <v>118</v>
      </c>
      <c r="X17" s="690" t="s">
        <v>119</v>
      </c>
      <c r="Y17" s="686" t="s">
        <v>120</v>
      </c>
      <c r="Z17" s="408"/>
      <c r="AA17" s="409"/>
      <c r="AB17" s="410"/>
      <c r="AD17" s="398"/>
      <c r="AE17" s="422"/>
      <c r="AF17" s="422"/>
      <c r="AG17" s="423"/>
      <c r="AH17" s="420"/>
    </row>
    <row r="18" spans="1:34" ht="18" customHeight="1" thickBot="1">
      <c r="A18" s="2"/>
      <c r="B18" s="2"/>
      <c r="C18" s="587" t="s">
        <v>54</v>
      </c>
      <c r="D18" s="587" t="s">
        <v>55</v>
      </c>
      <c r="E18" s="693"/>
      <c r="F18" s="161"/>
      <c r="G18" s="648"/>
      <c r="H18" s="689"/>
      <c r="I18" s="585"/>
      <c r="J18" s="648"/>
      <c r="K18" s="648"/>
      <c r="L18" s="693"/>
      <c r="M18" s="586"/>
      <c r="N18" s="648"/>
      <c r="O18" s="648"/>
      <c r="P18" s="648"/>
      <c r="Q18" s="648"/>
      <c r="R18" s="629"/>
      <c r="S18" s="629"/>
      <c r="T18" s="693"/>
      <c r="U18" s="627"/>
      <c r="V18" s="546" t="s">
        <v>121</v>
      </c>
      <c r="W18" s="691"/>
      <c r="X18" s="691"/>
      <c r="Y18" s="687"/>
      <c r="AA18" s="395" t="s">
        <v>25</v>
      </c>
      <c r="AB18" s="395" t="s">
        <v>29</v>
      </c>
      <c r="AC18" s="395" t="s">
        <v>56</v>
      </c>
      <c r="AD18" s="401"/>
      <c r="AE18" s="685" t="s">
        <v>57</v>
      </c>
      <c r="AF18" s="685"/>
      <c r="AG18" s="424"/>
      <c r="AH18" s="420"/>
    </row>
    <row r="19" spans="1:34" ht="15" customHeight="1" thickTop="1">
      <c r="A19" s="649" t="s">
        <v>61</v>
      </c>
      <c r="B19" s="659" t="s">
        <v>62</v>
      </c>
      <c r="C19" s="662" t="s">
        <v>63</v>
      </c>
      <c r="D19" s="663"/>
      <c r="E19" s="358" t="s">
        <v>64</v>
      </c>
      <c r="F19" s="182" t="s">
        <v>64</v>
      </c>
      <c r="G19" s="182" t="s">
        <v>64</v>
      </c>
      <c r="H19" s="182" t="s">
        <v>64</v>
      </c>
      <c r="I19" s="182" t="s">
        <v>64</v>
      </c>
      <c r="J19" s="182" t="s">
        <v>64</v>
      </c>
      <c r="K19" s="182" t="s">
        <v>64</v>
      </c>
      <c r="L19" s="184" t="s">
        <v>64</v>
      </c>
      <c r="M19" s="185"/>
      <c r="N19" s="182" t="s">
        <v>64</v>
      </c>
      <c r="O19" s="184" t="s">
        <v>67</v>
      </c>
      <c r="P19" s="184" t="s">
        <v>67</v>
      </c>
      <c r="Q19" s="184" t="s">
        <v>67</v>
      </c>
      <c r="R19" s="186" t="s">
        <v>122</v>
      </c>
      <c r="S19" s="186" t="s">
        <v>123</v>
      </c>
      <c r="T19" s="184" t="s">
        <v>67</v>
      </c>
      <c r="U19" s="186" t="s">
        <v>67</v>
      </c>
      <c r="V19" s="186"/>
      <c r="W19" s="186" t="s">
        <v>67</v>
      </c>
      <c r="X19" s="186" t="s">
        <v>64</v>
      </c>
      <c r="Y19" s="187" t="s">
        <v>65</v>
      </c>
      <c r="AA19" s="396"/>
      <c r="AB19" s="395"/>
      <c r="AC19" s="395"/>
      <c r="AD19" s="401"/>
      <c r="AE19" s="425" t="str">
        <f t="shared" si="0" ref="AE19:AF44">F19</f>
        <v>-------------</v>
      </c>
      <c r="AF19" s="426" t="str">
        <f t="shared" si="0"/>
        <v>-------------</v>
      </c>
      <c r="AG19" s="424" t="e">
        <f>SQRT(3)*(Q20+Q33)*0.22</f>
        <v>#VALUE!</v>
      </c>
      <c r="AH19" s="420"/>
    </row>
    <row r="20" spans="1:34" ht="15" customHeight="1">
      <c r="A20" s="650"/>
      <c r="B20" s="660"/>
      <c r="C20" s="359" t="s">
        <v>71</v>
      </c>
      <c r="D20" s="563"/>
      <c r="E20" s="432"/>
      <c r="F20" s="357" t="str">
        <f t="shared" si="1" ref="F20:F83">IF(OR(E20="",$G$11=""),"",IF($G$11&gt;0,E20*$G$11*($J$11/100+1)^($J$15-1),E20*$E$11*($J$11/100+1)^($J$15-1)))</f>
        <v/>
      </c>
      <c r="G20" s="380"/>
      <c r="H20" s="190" t="str">
        <f>IF(AND(E20="",G20=""),"",SUM(F20:$G$31))</f>
        <v/>
      </c>
      <c r="I20" s="191"/>
      <c r="J20" s="188"/>
      <c r="K20" s="188"/>
      <c r="L20" s="197" t="str">
        <f>IF(J20="Duplex",VLOOKUP(M20,'Características dos Cabos M Lot'!$C$12:$I$14,7),(IF(J20="Triplex",VLOOKUP(M20,'Características dos Cabos M Lot'!$C$15:$J$20,8),(IF(J20="Quadruplex",VLOOKUP(M20,'Características dos Cabos M Lot'!$C$21:$K$27,9),(IF(J20="13",VLOOKUP(M20,'Características dos Cabos M Lot'!$C$15:$L$20,10),"")))))))</f>
        <v/>
      </c>
      <c r="M20" s="350" t="str">
        <f>IF(K20=10,"a",IF(K20=16,"b",IF(K20=25,"c",IF(K20=35,"d",IF(K20=50,"e",(IF(K20=70,"f",(IF(K20=120,"g","")))))))))</f>
        <v/>
      </c>
      <c r="N20" s="375"/>
      <c r="O20" s="192" t="str">
        <f t="shared" si="2" ref="O20">IF(OR(N20="",L20="",H20=""),"",N20*L20*H20)</f>
        <v/>
      </c>
      <c r="P20" s="192" t="str">
        <f>IF(O20="","",SUM($O$20:O20))</f>
        <v/>
      </c>
      <c r="Q20" s="192" t="str">
        <f>IF(H20="","",IF(J20="Quadruplex",H20*1000/($D$13*SQRT(3)),IF(J20="Triplex",H20*1000*SQRT(3)/($D$13*2),IF(J20="Duplex",H20*1000*SQRT(3)/$D$13,IF(J20="13",H20*1000/$D$15,IF(J20="12",H20*1000*2/$D$15,"erro"))))))</f>
        <v/>
      </c>
      <c r="R20" s="193" t="str">
        <f>IF(J20="Duplex",VLOOKUP(M20,'Características dos Cabos MX CH'!$C$12:$I$14,5),(IF(J20="Triplex",VLOOKUP(M20,'Características dos Cabos MX CH'!$C$15:$J$20,5),(IF(J20="Quadruplex",VLOOKUP(M20,'Características dos Cabos MX CH'!$C$21:$K$27,5),(IF(J20="13",VLOOKUP(M20,'Características dos Cabos MX CH'!$C$15:$L$20,5),"")))))))</f>
        <v/>
      </c>
      <c r="S20" s="193" t="str">
        <f>IF(J20="Duplex",VLOOKUP(M20,'Características dos Cabos MX CH'!$C$12:$I$14,6),(IF(J20="Triplex",VLOOKUP(M20,'Características dos Cabos MX CH'!$C$15:$J$20,6),(IF(J20="Quadruplex",VLOOKUP(M20,'Características dos Cabos MX CH'!$C$21:$K$27,6),(IF(J20="13",VLOOKUP(M20,'Características dos Cabos MX CH'!$C$15:$L$20,6),"")))))))</f>
        <v/>
      </c>
      <c r="T20" s="194" t="str">
        <f>IF(OR(Q20="",R20="",S20=""),"",IF($L$11="PE",Q20/R20,IF($L$11="XLPE",Q20/S20,"")))</f>
        <v/>
      </c>
      <c r="U20" s="447" t="str">
        <f>IF(J20="Duplex",VLOOKUP(M20,'Características dos Cabos MX CH'!$C$12:$I$14,2),(IF(J20="Triplex",VLOOKUP(M20,'Características dos Cabos MX CH'!$C$15:$J$20,2),(IF(J20="Quadruplex",VLOOKUP(M20,'Características dos Cabos MX CH'!$C$21:$K$27,2),(IF(J20="13",VLOOKUP(M20,'Características dos Cabos MX CH'!$C$15:$L$20,2),"")))))))</f>
        <v/>
      </c>
      <c r="V20" s="193" t="str">
        <f>IF(J20="Duplex",VLOOKUP(M20,'Características dos Cabos MX CH'!$C$12:$I$14,3),(IF(J20="Triplex",VLOOKUP(M20,'Características dos Cabos MX CH'!$C$15:$J$20,3),(IF(J20="Quadruplex",VLOOKUP(M20,'Características dos Cabos MX CH'!$C$21:$K$27,3),(IF(J20="13",VLOOKUP(M20,'Características dos Cabos MX CH'!$C$15:$L$20,3),"")))))))</f>
        <v/>
      </c>
      <c r="W20" s="195" t="str">
        <f>IF(OR(O20="",$G$15="",H20="",N20=""),"",IF(J20="Quadruplex",3*$L$13*U20*O20/1000*R20^2*8.76,IF(J20="Triplex",2*$L$13*U20*O20/1000*R20^2*8.76,IF(J20="Duplex",$L$13*U20*O20/1000*R20^2*8.76))))</f>
        <v/>
      </c>
      <c r="X20" s="195" t="str">
        <f>IF(OR(O20="",$G$15="",H20="",N20=""),"",IF(J20="Quadruplex",3*$L$13*V20*O20/1000*R20^2*8.76,IF(J20="triplex",2*$L$13*V20*O20/1000*R20^2*8.76,IF(J20="Duplex",$L$13*V20*O20/1000*R20^2*8.76))))</f>
        <v/>
      </c>
      <c r="Y20" s="196" t="str">
        <f>IF(OR(V20="",W20="",X20=""),"",IF($L$11="PE",W20,IF($L$11="XLPE",X20,"")))</f>
        <v/>
      </c>
      <c r="AA20" s="396">
        <f t="shared" si="3" ref="AA20:AA44">D20</f>
        <v>0</v>
      </c>
      <c r="AB20" s="396">
        <f t="shared" si="4" ref="AB20:AB86">K20</f>
        <v>0</v>
      </c>
      <c r="AC20" s="395">
        <f>SUM($N$20:N20)</f>
        <v>0</v>
      </c>
      <c r="AD20" s="401"/>
      <c r="AE20" s="357" t="str">
        <f>IF(OR(E20="",$G$11=""),"",IF($G$11&gt;0,E20*$G$11*($J$11/100+1)^($J$15-1),E20*$E$11*($J$11/100+1)^($J$15-1)))</f>
        <v/>
      </c>
      <c r="AF20" s="426">
        <f t="shared" si="0"/>
        <v>0</v>
      </c>
      <c r="AG20" s="424"/>
      <c r="AH20" s="420"/>
    </row>
    <row r="21" spans="1:34" ht="15" customHeight="1">
      <c r="A21" s="650"/>
      <c r="B21" s="660"/>
      <c r="C21" s="562"/>
      <c r="D21" s="563"/>
      <c r="E21" s="387"/>
      <c r="F21" s="357" t="str">
        <f t="shared" si="1"/>
        <v/>
      </c>
      <c r="G21" s="380"/>
      <c r="H21" s="190" t="str">
        <f>IF(AND(E21="",G21=""),"",SUM(F21:$G$31))</f>
        <v/>
      </c>
      <c r="I21" s="191"/>
      <c r="J21" s="188"/>
      <c r="K21" s="188"/>
      <c r="L21" s="197" t="str">
        <f>IF(J21="Duplex",VLOOKUP(M21,'Características dos Cabos M Lot'!$C$12:$I$14,7),(IF(J21="Triplex",VLOOKUP(M21,'Características dos Cabos M Lot'!$C$15:$J$20,8),(IF(J21="Quadruplex",VLOOKUP(M21,'Características dos Cabos M Lot'!$C$21:$K$27,9),(IF(J21="13",VLOOKUP(M21,'Características dos Cabos M Lot'!$C$15:$L$20,10),"")))))))</f>
        <v/>
      </c>
      <c r="M21" s="350" t="str">
        <f t="shared" si="5" ref="M21:M86">IF(K21=10,"a",IF(K21=16,"b",IF(K21=25,"c",IF(K21=35,"d",IF(K21=50,"e",(IF(K21=70,"f",(IF(K21=120,"g","")))))))))</f>
        <v/>
      </c>
      <c r="N21" s="375"/>
      <c r="O21" s="192" t="str">
        <f t="shared" si="6" ref="O21:O44">IF(OR(N21="",L21="",H21=""),"",N21*L21*H21)</f>
        <v/>
      </c>
      <c r="P21" s="192" t="str">
        <f>IF(O21="","",SUM($O$20:O21))</f>
        <v/>
      </c>
      <c r="Q21" s="192" t="str">
        <f t="shared" si="7" ref="Q21:Q86">IF(H21="","",IF(J21="Quadruplex",H21*1000/($D$13*SQRT(3)),IF(J21="Triplex",H21*1000*SQRT(3)/($D$13*2),IF(J21="Duplex",H21*1000*SQRT(3)/$D$13,IF(J21="13",H21*1000/$D$15,IF(J21="12",H21*1000*2/$D$15,"erro"))))))</f>
        <v/>
      </c>
      <c r="R21" s="193" t="str">
        <f>IF(J21="Duplex",VLOOKUP(M21,'Características dos Cabos MX CH'!$C$12:$I$14,5),(IF(J21="Triplex",VLOOKUP(M21,'Características dos Cabos MX CH'!$C$15:$J$20,5),(IF(J21="Quadruplex",VLOOKUP(M21,'Características dos Cabos MX CH'!$C$21:$K$27,5),(IF(J21="13",VLOOKUP(M21,'Características dos Cabos MX CH'!$C$15:$L$20,5),"")))))))</f>
        <v/>
      </c>
      <c r="S21" s="193" t="str">
        <f>IF(J21="Duplex",VLOOKUP(M21,'Características dos Cabos MX CH'!$C$12:$I$14,6),(IF(J21="Triplex",VLOOKUP(M21,'Características dos Cabos MX CH'!$C$15:$J$20,6),(IF(J21="Quadruplex",VLOOKUP(M21,'Características dos Cabos MX CH'!$C$21:$K$27,6),(IF(J21="13",VLOOKUP(M21,'Características dos Cabos MX CH'!$C$15:$L$20,6),"")))))))</f>
        <v/>
      </c>
      <c r="T21" s="194" t="str">
        <f t="shared" si="8" ref="T21:T44">IF(OR(Q21="",R21="",S21=""),"",IF($L$11="PE",Q21/R21,IF($L$11="XLPE",Q21/S21,"")))</f>
        <v/>
      </c>
      <c r="U21" s="447" t="str">
        <f>IF(J21="Duplex",VLOOKUP(M21,'Características dos Cabos MX CH'!$C$12:$I$14,2),(IF(J21="Triplex",VLOOKUP(M21,'Características dos Cabos MX CH'!$C$15:$J$20,2),(IF(J21="Quadruplex",VLOOKUP(M21,'Características dos Cabos MX CH'!$C$21:$K$27,2),(IF(J21="13",VLOOKUP(M21,'Características dos Cabos MX CH'!$C$15:$L$20,2),"")))))))</f>
        <v/>
      </c>
      <c r="V21" s="193" t="str">
        <f>IF(J21="Duplex",VLOOKUP(M21,'Características dos Cabos MX CH'!$C$12:$I$14,3),(IF(J21="Triplex",VLOOKUP(M21,'Características dos Cabos MX CH'!$C$15:$J$20,3),(IF(J21="Quadruplex",VLOOKUP(M21,'Características dos Cabos MX CH'!$C$21:$K$27,3),(IF(J21="13",VLOOKUP(M21,'Características dos Cabos MX CH'!$C$15:$L$20,3),"")))))))</f>
        <v/>
      </c>
      <c r="W21" s="195" t="str">
        <f t="shared" si="9" ref="W21:W44">IF(OR(O21="",$G$15="",H21="",N21=""),"",IF(J21="Quadruplex",3*$L$13*U21*O21/1000*R21^2*8.76,IF(J21="Triplex",2*$L$13*U21*O21/1000*R21^2*8.76,IF(J21="Duplex",$L$13*U21*O21/1000*R21^2*8.76))))</f>
        <v/>
      </c>
      <c r="X21" s="195" t="str">
        <f t="shared" si="10" ref="X21:X44">IF(OR(O21="",$G$15="",H21="",N21=""),"",IF(J21="Quadruplex",3*$L$13*V21*O21/1000*R21^2*8.76,IF(J21="triplex",2*$L$13*V21*O21/1000*R21^2*8.76,IF(J21="Duplex",$L$13*V21*O21/1000*R21^2*8.76))))</f>
        <v/>
      </c>
      <c r="Y21" s="196" t="str">
        <f t="shared" si="11" ref="Y21:Y44">IF(OR(V21="",W21="",X21=""),"",IF($L$11="PE",W21,IF($L$11="XLPE",X21,"")))</f>
        <v/>
      </c>
      <c r="AA21" s="396">
        <f t="shared" si="3"/>
        <v>0</v>
      </c>
      <c r="AB21" s="396">
        <f t="shared" si="4"/>
        <v>0</v>
      </c>
      <c r="AC21" s="395">
        <f>SUM($N$20:N21)</f>
        <v>0</v>
      </c>
      <c r="AD21" s="401"/>
      <c r="AE21" s="357" t="str">
        <f t="shared" si="12" ref="AE21:AE84">IF(OR(E21="",$G$11=""),"",IF($G$11&gt;0,E21*$G$11*($J$11/100+1)^($J$15-1),E21*$E$11*($J$11/100+1)^($J$15-1)))</f>
        <v/>
      </c>
      <c r="AF21" s="426">
        <f t="shared" si="0"/>
        <v>0</v>
      </c>
      <c r="AG21" s="424"/>
      <c r="AH21" s="420"/>
    </row>
    <row r="22" spans="1:34" ht="15" customHeight="1">
      <c r="A22" s="650"/>
      <c r="B22" s="660"/>
      <c r="C22" s="562"/>
      <c r="D22" s="563"/>
      <c r="E22" s="387"/>
      <c r="F22" s="357" t="str">
        <f t="shared" si="1"/>
        <v/>
      </c>
      <c r="G22" s="380"/>
      <c r="H22" s="190" t="str">
        <f>IF(AND(E22="",G22=""),"",SUM(F22:$G$31))</f>
        <v/>
      </c>
      <c r="I22" s="191"/>
      <c r="J22" s="188"/>
      <c r="K22" s="188"/>
      <c r="L22" s="197" t="str">
        <f>IF(J22="Duplex",VLOOKUP(M22,'Características dos Cabos M Lot'!$C$12:$I$14,7),(IF(J22="Triplex",VLOOKUP(M22,'Características dos Cabos M Lot'!$C$15:$J$20,8),(IF(J22="Quadruplex",VLOOKUP(M22,'Características dos Cabos M Lot'!$C$21:$K$27,9),(IF(J22="13",VLOOKUP(M22,'Características dos Cabos M Lot'!$C$15:$L$20,10),"")))))))</f>
        <v/>
      </c>
      <c r="M22" s="350" t="str">
        <f t="shared" si="5"/>
        <v/>
      </c>
      <c r="N22" s="375"/>
      <c r="O22" s="192" t="str">
        <f t="shared" si="6"/>
        <v/>
      </c>
      <c r="P22" s="192" t="str">
        <f>IF(O22="","",SUM($O$20:O22))</f>
        <v/>
      </c>
      <c r="Q22" s="192" t="str">
        <f t="shared" si="7"/>
        <v/>
      </c>
      <c r="R22" s="193" t="str">
        <f>IF(J22="Duplex",VLOOKUP(M22,'Características dos Cabos MX CH'!$C$12:$I$14,5),(IF(J22="Triplex",VLOOKUP(M22,'Características dos Cabos MX CH'!$C$15:$J$20,5),(IF(J22="Quadruplex",VLOOKUP(M22,'Características dos Cabos MX CH'!$C$21:$K$27,5),(IF(J22="13",VLOOKUP(M22,'Características dos Cabos MX CH'!$C$15:$L$20,5),"")))))))</f>
        <v/>
      </c>
      <c r="S22" s="193" t="str">
        <f>IF(J22="Duplex",VLOOKUP(M22,'Características dos Cabos MX CH'!$C$12:$I$14,6),(IF(J22="Triplex",VLOOKUP(M22,'Características dos Cabos MX CH'!$C$15:$J$20,6),(IF(J22="Quadruplex",VLOOKUP(M22,'Características dos Cabos MX CH'!$C$21:$K$27,6),(IF(J22="13",VLOOKUP(M22,'Características dos Cabos MX CH'!$C$15:$L$20,6),"")))))))</f>
        <v/>
      </c>
      <c r="T22" s="194" t="str">
        <f t="shared" si="8"/>
        <v/>
      </c>
      <c r="U22" s="447" t="str">
        <f>IF(J22="Duplex",VLOOKUP(M22,'Características dos Cabos MX CH'!$C$12:$I$14,2),(IF(J22="Triplex",VLOOKUP(M22,'Características dos Cabos MX CH'!$C$15:$J$20,2),(IF(J22="Quadruplex",VLOOKUP(M22,'Características dos Cabos MX CH'!$C$21:$K$27,2),(IF(J22="13",VLOOKUP(M22,'Características dos Cabos MX CH'!$C$15:$L$20,2),"")))))))</f>
        <v/>
      </c>
      <c r="V22" s="193" t="str">
        <f>IF(J22="Duplex",VLOOKUP(M22,'Características dos Cabos MX CH'!$C$12:$I$14,3),(IF(J22="Triplex",VLOOKUP(M22,'Características dos Cabos MX CH'!$C$15:$J$20,3),(IF(J22="Quadruplex",VLOOKUP(M22,'Características dos Cabos MX CH'!$C$21:$K$27,3),(IF(J22="13",VLOOKUP(M22,'Características dos Cabos MX CH'!$C$15:$L$20,3),"")))))))</f>
        <v/>
      </c>
      <c r="W22" s="195" t="str">
        <f t="shared" si="9"/>
        <v/>
      </c>
      <c r="X22" s="195" t="str">
        <f t="shared" si="10"/>
        <v/>
      </c>
      <c r="Y22" s="196" t="str">
        <f t="shared" si="11"/>
        <v/>
      </c>
      <c r="AA22" s="396">
        <f t="shared" si="3"/>
        <v>0</v>
      </c>
      <c r="AB22" s="396">
        <f t="shared" si="4"/>
        <v>0</v>
      </c>
      <c r="AC22" s="395">
        <f>SUM($N$20:N22)</f>
        <v>0</v>
      </c>
      <c r="AD22" s="401"/>
      <c r="AE22" s="357" t="str">
        <f t="shared" si="12"/>
        <v/>
      </c>
      <c r="AF22" s="426">
        <f t="shared" si="0"/>
        <v>0</v>
      </c>
      <c r="AG22" s="424"/>
      <c r="AH22" s="420"/>
    </row>
    <row r="23" spans="1:34" ht="15" customHeight="1">
      <c r="A23" s="650"/>
      <c r="B23" s="660"/>
      <c r="C23" s="562"/>
      <c r="D23" s="563"/>
      <c r="E23" s="387"/>
      <c r="F23" s="357" t="str">
        <f t="shared" si="1"/>
        <v/>
      </c>
      <c r="G23" s="380"/>
      <c r="H23" s="190" t="str">
        <f>IF(AND(E23="",G23=""),"",SUM(F23:$G$31))</f>
        <v/>
      </c>
      <c r="I23" s="191"/>
      <c r="J23" s="188"/>
      <c r="K23" s="188"/>
      <c r="L23" s="197" t="str">
        <f>IF(J23="Duplex",VLOOKUP(M23,'Características dos Cabos M Lot'!$C$12:$I$14,7),(IF(J23="Triplex",VLOOKUP(M23,'Características dos Cabos M Lot'!$C$15:$J$20,8),(IF(J23="Quadruplex",VLOOKUP(M23,'Características dos Cabos M Lot'!$C$21:$K$27,9),(IF(J23="13",VLOOKUP(M23,'Características dos Cabos M Lot'!$C$15:$L$20,10),"")))))))</f>
        <v/>
      </c>
      <c r="M23" s="350" t="str">
        <f t="shared" si="5"/>
        <v/>
      </c>
      <c r="N23" s="375"/>
      <c r="O23" s="192" t="str">
        <f t="shared" si="6"/>
        <v/>
      </c>
      <c r="P23" s="192" t="str">
        <f>IF(O23="","",SUM($O$20:O23))</f>
        <v/>
      </c>
      <c r="Q23" s="192" t="str">
        <f t="shared" si="7"/>
        <v/>
      </c>
      <c r="R23" s="193" t="str">
        <f>IF(J23="Duplex",VLOOKUP(M23,'Características dos Cabos MX CH'!$C$12:$I$14,5),(IF(J23="Triplex",VLOOKUP(M23,'Características dos Cabos MX CH'!$C$15:$J$20,5),(IF(J23="Quadruplex",VLOOKUP(M23,'Características dos Cabos MX CH'!$C$21:$K$27,5),(IF(J23="13",VLOOKUP(M23,'Características dos Cabos MX CH'!$C$15:$L$20,5),"")))))))</f>
        <v/>
      </c>
      <c r="S23" s="193" t="str">
        <f>IF(J23="Duplex",VLOOKUP(M23,'Características dos Cabos MX CH'!$C$12:$I$14,6),(IF(J23="Triplex",VLOOKUP(M23,'Características dos Cabos MX CH'!$C$15:$J$20,6),(IF(J23="Quadruplex",VLOOKUP(M23,'Características dos Cabos MX CH'!$C$21:$K$27,6),(IF(J23="13",VLOOKUP(M23,'Características dos Cabos MX CH'!$C$15:$L$20,6),"")))))))</f>
        <v/>
      </c>
      <c r="T23" s="194" t="str">
        <f t="shared" si="8"/>
        <v/>
      </c>
      <c r="U23" s="447" t="str">
        <f>IF(J23="Duplex",VLOOKUP(M23,'Características dos Cabos MX CH'!$C$12:$I$14,2),(IF(J23="Triplex",VLOOKUP(M23,'Características dos Cabos MX CH'!$C$15:$J$20,2),(IF(J23="Quadruplex",VLOOKUP(M23,'Características dos Cabos MX CH'!$C$21:$K$27,2),(IF(J23="13",VLOOKUP(M23,'Características dos Cabos MX CH'!$C$15:$L$20,2),"")))))))</f>
        <v/>
      </c>
      <c r="V23" s="193" t="str">
        <f>IF(J23="Duplex",VLOOKUP(M23,'Características dos Cabos MX CH'!$C$12:$I$14,3),(IF(J23="Triplex",VLOOKUP(M23,'Características dos Cabos MX CH'!$C$15:$J$20,3),(IF(J23="Quadruplex",VLOOKUP(M23,'Características dos Cabos MX CH'!$C$21:$K$27,3),(IF(J23="13",VLOOKUP(M23,'Características dos Cabos MX CH'!$C$15:$L$20,3),"")))))))</f>
        <v/>
      </c>
      <c r="W23" s="195" t="str">
        <f t="shared" si="9"/>
        <v/>
      </c>
      <c r="X23" s="195" t="str">
        <f t="shared" si="10"/>
        <v/>
      </c>
      <c r="Y23" s="196" t="str">
        <f t="shared" si="11"/>
        <v/>
      </c>
      <c r="AA23" s="396">
        <f t="shared" si="3"/>
        <v>0</v>
      </c>
      <c r="AB23" s="396">
        <f t="shared" si="4"/>
        <v>0</v>
      </c>
      <c r="AC23" s="395">
        <f>SUM($N$20:N23)</f>
        <v>0</v>
      </c>
      <c r="AD23" s="401"/>
      <c r="AE23" s="357" t="str">
        <f t="shared" si="12"/>
        <v/>
      </c>
      <c r="AF23" s="426">
        <f t="shared" si="0"/>
        <v>0</v>
      </c>
      <c r="AG23" s="424"/>
      <c r="AH23" s="420"/>
    </row>
    <row r="24" spans="1:34" ht="15" customHeight="1">
      <c r="A24" s="650"/>
      <c r="B24" s="660"/>
      <c r="C24" s="562"/>
      <c r="D24" s="563"/>
      <c r="E24" s="387"/>
      <c r="F24" s="357" t="str">
        <f t="shared" si="1"/>
        <v/>
      </c>
      <c r="G24" s="380"/>
      <c r="H24" s="190" t="str">
        <f>IF(AND(E24="",G24=""),"",SUM(F24:$G$31))</f>
        <v/>
      </c>
      <c r="I24" s="191"/>
      <c r="J24" s="188"/>
      <c r="K24" s="188"/>
      <c r="L24" s="197" t="str">
        <f>IF(J24="Duplex",VLOOKUP(M24,'Características dos Cabos M Lot'!$C$12:$I$14,7),(IF(J24="Triplex",VLOOKUP(M24,'Características dos Cabos M Lot'!$C$15:$J$20,8),(IF(J24="Quadruplex",VLOOKUP(M24,'Características dos Cabos M Lot'!$C$21:$K$27,9),(IF(J24="13",VLOOKUP(M24,'Características dos Cabos M Lot'!$C$15:$L$20,10),"")))))))</f>
        <v/>
      </c>
      <c r="M24" s="350" t="str">
        <f t="shared" si="5"/>
        <v/>
      </c>
      <c r="N24" s="375"/>
      <c r="O24" s="192" t="str">
        <f t="shared" si="6"/>
        <v/>
      </c>
      <c r="P24" s="192" t="str">
        <f>IF(O24="","",SUM($O$20:O24))</f>
        <v/>
      </c>
      <c r="Q24" s="192" t="str">
        <f t="shared" si="7"/>
        <v/>
      </c>
      <c r="R24" s="193" t="str">
        <f>IF(J24="Duplex",VLOOKUP(M24,'Características dos Cabos MX CH'!$C$12:$I$14,5),(IF(J24="Triplex",VLOOKUP(M24,'Características dos Cabos MX CH'!$C$15:$J$20,5),(IF(J24="Quadruplex",VLOOKUP(M24,'Características dos Cabos MX CH'!$C$21:$K$27,5),(IF(J24="13",VLOOKUP(M24,'Características dos Cabos MX CH'!$C$15:$L$20,5),"")))))))</f>
        <v/>
      </c>
      <c r="S24" s="193" t="str">
        <f>IF(J24="Duplex",VLOOKUP(M24,'Características dos Cabos MX CH'!$C$12:$I$14,6),(IF(J24="Triplex",VLOOKUP(M24,'Características dos Cabos MX CH'!$C$15:$J$20,6),(IF(J24="Quadruplex",VLOOKUP(M24,'Características dos Cabos MX CH'!$C$21:$K$27,6),(IF(J24="13",VLOOKUP(M24,'Características dos Cabos MX CH'!$C$15:$L$20,6),"")))))))</f>
        <v/>
      </c>
      <c r="T24" s="194" t="str">
        <f t="shared" si="8"/>
        <v/>
      </c>
      <c r="U24" s="447" t="str">
        <f>IF(J24="Duplex",VLOOKUP(M24,'Características dos Cabos MX CH'!$C$12:$I$14,2),(IF(J24="Triplex",VLOOKUP(M24,'Características dos Cabos MX CH'!$C$15:$J$20,2),(IF(J24="Quadruplex",VLOOKUP(M24,'Características dos Cabos MX CH'!$C$21:$K$27,2),(IF(J24="13",VLOOKUP(M24,'Características dos Cabos MX CH'!$C$15:$L$20,2),"")))))))</f>
        <v/>
      </c>
      <c r="V24" s="193" t="str">
        <f>IF(J24="Duplex",VLOOKUP(M24,'Características dos Cabos MX CH'!$C$12:$I$14,3),(IF(J24="Triplex",VLOOKUP(M24,'Características dos Cabos MX CH'!$C$15:$J$20,3),(IF(J24="Quadruplex",VLOOKUP(M24,'Características dos Cabos MX CH'!$C$21:$K$27,3),(IF(J24="13",VLOOKUP(M24,'Características dos Cabos MX CH'!$C$15:$L$20,3),"")))))))</f>
        <v/>
      </c>
      <c r="W24" s="195" t="str">
        <f t="shared" si="9"/>
        <v/>
      </c>
      <c r="X24" s="195" t="str">
        <f t="shared" si="10"/>
        <v/>
      </c>
      <c r="Y24" s="196" t="str">
        <f t="shared" si="11"/>
        <v/>
      </c>
      <c r="AA24" s="396">
        <f t="shared" si="3"/>
        <v>0</v>
      </c>
      <c r="AB24" s="396">
        <f t="shared" si="4"/>
        <v>0</v>
      </c>
      <c r="AC24" s="395">
        <f>SUM($N$20:N24)</f>
        <v>0</v>
      </c>
      <c r="AD24" s="401"/>
      <c r="AE24" s="357" t="str">
        <f t="shared" si="12"/>
        <v/>
      </c>
      <c r="AF24" s="426">
        <f t="shared" si="0"/>
        <v>0</v>
      </c>
      <c r="AG24" s="424"/>
      <c r="AH24" s="420"/>
    </row>
    <row r="25" spans="1:34" ht="15" customHeight="1">
      <c r="A25" s="650"/>
      <c r="B25" s="660"/>
      <c r="C25" s="562"/>
      <c r="D25" s="563"/>
      <c r="E25" s="387"/>
      <c r="F25" s="357" t="str">
        <f t="shared" si="1"/>
        <v/>
      </c>
      <c r="G25" s="380"/>
      <c r="H25" s="190" t="str">
        <f>IF(AND(E25="",G25=""),"",SUM(F25:$G$31))</f>
        <v/>
      </c>
      <c r="I25" s="191"/>
      <c r="J25" s="188"/>
      <c r="K25" s="188"/>
      <c r="L25" s="197" t="str">
        <f>IF(J25="Duplex",VLOOKUP(M25,'Características dos Cabos M Lot'!$C$12:$I$14,7),(IF(J25="Triplex",VLOOKUP(M25,'Características dos Cabos M Lot'!$C$15:$J$20,8),(IF(J25="Quadruplex",VLOOKUP(M25,'Características dos Cabos M Lot'!$C$21:$K$27,9),(IF(J25="13",VLOOKUP(M25,'Características dos Cabos M Lot'!$C$15:$L$20,10),"")))))))</f>
        <v/>
      </c>
      <c r="M25" s="350" t="str">
        <f t="shared" si="5"/>
        <v/>
      </c>
      <c r="N25" s="375"/>
      <c r="O25" s="192" t="str">
        <f t="shared" si="6"/>
        <v/>
      </c>
      <c r="P25" s="192" t="str">
        <f>IF(O25="","",SUM($O$20:O25))</f>
        <v/>
      </c>
      <c r="Q25" s="192" t="str">
        <f t="shared" si="7"/>
        <v/>
      </c>
      <c r="R25" s="193" t="str">
        <f>IF(J25="Duplex",VLOOKUP(M25,'Características dos Cabos MX CH'!$C$12:$I$14,5),(IF(J25="Triplex",VLOOKUP(M25,'Características dos Cabos MX CH'!$C$15:$J$20,5),(IF(J25="Quadruplex",VLOOKUP(M25,'Características dos Cabos MX CH'!$C$21:$K$27,5),(IF(J25="13",VLOOKUP(M25,'Características dos Cabos MX CH'!$C$15:$L$20,5),"")))))))</f>
        <v/>
      </c>
      <c r="S25" s="193" t="str">
        <f>IF(J25="Duplex",VLOOKUP(M25,'Características dos Cabos MX CH'!$C$12:$I$14,6),(IF(J25="Triplex",VLOOKUP(M25,'Características dos Cabos MX CH'!$C$15:$J$20,6),(IF(J25="Quadruplex",VLOOKUP(M25,'Características dos Cabos MX CH'!$C$21:$K$27,6),(IF(J25="13",VLOOKUP(M25,'Características dos Cabos MX CH'!$C$15:$L$20,6),"")))))))</f>
        <v/>
      </c>
      <c r="T25" s="194" t="str">
        <f t="shared" si="8"/>
        <v/>
      </c>
      <c r="U25" s="447" t="str">
        <f>IF(J25="Duplex",VLOOKUP(M25,'Características dos Cabos MX CH'!$C$12:$I$14,2),(IF(J25="Triplex",VLOOKUP(M25,'Características dos Cabos MX CH'!$C$15:$J$20,2),(IF(J25="Quadruplex",VLOOKUP(M25,'Características dos Cabos MX CH'!$C$21:$K$27,2),(IF(J25="13",VLOOKUP(M25,'Características dos Cabos MX CH'!$C$15:$L$20,2),"")))))))</f>
        <v/>
      </c>
      <c r="V25" s="193" t="str">
        <f>IF(J25="Duplex",VLOOKUP(M25,'Características dos Cabos MX CH'!$C$12:$I$14,3),(IF(J25="Triplex",VLOOKUP(M25,'Características dos Cabos MX CH'!$C$15:$J$20,3),(IF(J25="Quadruplex",VLOOKUP(M25,'Características dos Cabos MX CH'!$C$21:$K$27,3),(IF(J25="13",VLOOKUP(M25,'Características dos Cabos MX CH'!$C$15:$L$20,3),"")))))))</f>
        <v/>
      </c>
      <c r="W25" s="195" t="str">
        <f t="shared" si="9"/>
        <v/>
      </c>
      <c r="X25" s="195" t="str">
        <f t="shared" si="10"/>
        <v/>
      </c>
      <c r="Y25" s="196" t="str">
        <f t="shared" si="11"/>
        <v/>
      </c>
      <c r="AA25" s="396">
        <f t="shared" si="3"/>
        <v>0</v>
      </c>
      <c r="AB25" s="396">
        <f t="shared" si="4"/>
        <v>0</v>
      </c>
      <c r="AC25" s="395">
        <f>SUM($N$20:N25)</f>
        <v>0</v>
      </c>
      <c r="AD25" s="401"/>
      <c r="AE25" s="357" t="str">
        <f t="shared" si="12"/>
        <v/>
      </c>
      <c r="AF25" s="426">
        <f t="shared" si="0"/>
        <v>0</v>
      </c>
      <c r="AG25" s="424"/>
      <c r="AH25" s="420"/>
    </row>
    <row r="26" spans="1:34" ht="15" customHeight="1">
      <c r="A26" s="650"/>
      <c r="B26" s="660"/>
      <c r="C26" s="562"/>
      <c r="D26" s="563"/>
      <c r="E26" s="387"/>
      <c r="F26" s="357" t="str">
        <f t="shared" si="1"/>
        <v/>
      </c>
      <c r="G26" s="380"/>
      <c r="H26" s="190" t="str">
        <f>IF(AND(E26="",G26=""),"",SUM(F26:$G$31))</f>
        <v/>
      </c>
      <c r="I26" s="191"/>
      <c r="J26" s="188"/>
      <c r="K26" s="188"/>
      <c r="L26" s="197" t="str">
        <f>IF(J26="Duplex",VLOOKUP(M26,'Características dos Cabos M Lot'!$C$12:$I$14,7),(IF(J26="Triplex",VLOOKUP(M26,'Características dos Cabos M Lot'!$C$15:$J$20,8),(IF(J26="Quadruplex",VLOOKUP(M26,'Características dos Cabos M Lot'!$C$21:$K$27,9),(IF(J26="13",VLOOKUP(M26,'Características dos Cabos M Lot'!$C$15:$L$20,10),"")))))))</f>
        <v/>
      </c>
      <c r="M26" s="350" t="str">
        <f t="shared" si="5"/>
        <v/>
      </c>
      <c r="N26" s="375"/>
      <c r="O26" s="192" t="str">
        <f t="shared" si="6"/>
        <v/>
      </c>
      <c r="P26" s="192" t="str">
        <f>IF(O26="","",SUM($O$20:O26))</f>
        <v/>
      </c>
      <c r="Q26" s="192" t="str">
        <f t="shared" si="7"/>
        <v/>
      </c>
      <c r="R26" s="193" t="str">
        <f>IF(J26="Duplex",VLOOKUP(M26,'Características dos Cabos MX CH'!$C$12:$I$14,5),(IF(J26="Triplex",VLOOKUP(M26,'Características dos Cabos MX CH'!$C$15:$J$20,5),(IF(J26="Quadruplex",VLOOKUP(M26,'Características dos Cabos MX CH'!$C$21:$K$27,5),(IF(J26="13",VLOOKUP(M26,'Características dos Cabos MX CH'!$C$15:$L$20,5),"")))))))</f>
        <v/>
      </c>
      <c r="S26" s="193" t="str">
        <f>IF(J26="Duplex",VLOOKUP(M26,'Características dos Cabos MX CH'!$C$12:$I$14,6),(IF(J26="Triplex",VLOOKUP(M26,'Características dos Cabos MX CH'!$C$15:$J$20,6),(IF(J26="Quadruplex",VLOOKUP(M26,'Características dos Cabos MX CH'!$C$21:$K$27,6),(IF(J26="13",VLOOKUP(M26,'Características dos Cabos MX CH'!$C$15:$L$20,6),"")))))))</f>
        <v/>
      </c>
      <c r="T26" s="194" t="str">
        <f t="shared" si="8"/>
        <v/>
      </c>
      <c r="U26" s="447" t="str">
        <f>IF(J26="Duplex",VLOOKUP(M26,'Características dos Cabos MX CH'!$C$12:$I$14,2),(IF(J26="Triplex",VLOOKUP(M26,'Características dos Cabos MX CH'!$C$15:$J$20,2),(IF(J26="Quadruplex",VLOOKUP(M26,'Características dos Cabos MX CH'!$C$21:$K$27,2),(IF(J26="13",VLOOKUP(M26,'Características dos Cabos MX CH'!$C$15:$L$20,2),"")))))))</f>
        <v/>
      </c>
      <c r="V26" s="193" t="str">
        <f>IF(J26="Duplex",VLOOKUP(M26,'Características dos Cabos MX CH'!$C$12:$I$14,3),(IF(J26="Triplex",VLOOKUP(M26,'Características dos Cabos MX CH'!$C$15:$J$20,3),(IF(J26="Quadruplex",VLOOKUP(M26,'Características dos Cabos MX CH'!$C$21:$K$27,3),(IF(J26="13",VLOOKUP(M26,'Características dos Cabos MX CH'!$C$15:$L$20,3),"")))))))</f>
        <v/>
      </c>
      <c r="W26" s="195" t="str">
        <f t="shared" si="9"/>
        <v/>
      </c>
      <c r="X26" s="195" t="str">
        <f t="shared" si="10"/>
        <v/>
      </c>
      <c r="Y26" s="196" t="str">
        <f t="shared" si="11"/>
        <v/>
      </c>
      <c r="AA26" s="396">
        <f t="shared" si="3"/>
        <v>0</v>
      </c>
      <c r="AB26" s="396">
        <f t="shared" si="4"/>
        <v>0</v>
      </c>
      <c r="AC26" s="395">
        <f>SUM($N$20:N26)</f>
        <v>0</v>
      </c>
      <c r="AD26" s="401"/>
      <c r="AE26" s="357" t="str">
        <f t="shared" si="12"/>
        <v/>
      </c>
      <c r="AF26" s="426">
        <f t="shared" si="0"/>
        <v>0</v>
      </c>
      <c r="AG26" s="424"/>
      <c r="AH26" s="420"/>
    </row>
    <row r="27" spans="1:34" ht="15" customHeight="1">
      <c r="A27" s="650"/>
      <c r="B27" s="660"/>
      <c r="C27" s="562"/>
      <c r="D27" s="563"/>
      <c r="E27" s="387"/>
      <c r="F27" s="357" t="str">
        <f t="shared" si="1"/>
        <v/>
      </c>
      <c r="G27" s="380"/>
      <c r="H27" s="190" t="str">
        <f>IF(AND(E27="",G27=""),"",SUM(F27:$G$31))</f>
        <v/>
      </c>
      <c r="I27" s="191"/>
      <c r="J27" s="188"/>
      <c r="K27" s="188"/>
      <c r="L27" s="197" t="str">
        <f>IF(J27="Duplex",VLOOKUP(M27,'Características dos Cabos M Lot'!$C$12:$I$14,7),(IF(J27="Triplex",VLOOKUP(M27,'Características dos Cabos M Lot'!$C$15:$J$20,8),(IF(J27="Quadruplex",VLOOKUP(M27,'Características dos Cabos M Lot'!$C$21:$K$27,9),(IF(J27="13",VLOOKUP(M27,'Características dos Cabos M Lot'!$C$15:$L$20,10),"")))))))</f>
        <v/>
      </c>
      <c r="M27" s="350" t="str">
        <f t="shared" si="5"/>
        <v/>
      </c>
      <c r="N27" s="375"/>
      <c r="O27" s="192" t="str">
        <f t="shared" si="6"/>
        <v/>
      </c>
      <c r="P27" s="192" t="str">
        <f>IF(O27="","",SUM($O$20:O27))</f>
        <v/>
      </c>
      <c r="Q27" s="192" t="str">
        <f t="shared" si="7"/>
        <v/>
      </c>
      <c r="R27" s="193" t="str">
        <f>IF(J27="Duplex",VLOOKUP(M27,'Características dos Cabos MX CH'!$C$12:$I$14,5),(IF(J27="Triplex",VLOOKUP(M27,'Características dos Cabos MX CH'!$C$15:$J$20,5),(IF(J27="Quadruplex",VLOOKUP(M27,'Características dos Cabos MX CH'!$C$21:$K$27,5),(IF(J27="13",VLOOKUP(M27,'Características dos Cabos MX CH'!$C$15:$L$20,5),"")))))))</f>
        <v/>
      </c>
      <c r="S27" s="193" t="str">
        <f>IF(J27="Duplex",VLOOKUP(M27,'Características dos Cabos MX CH'!$C$12:$I$14,6),(IF(J27="Triplex",VLOOKUP(M27,'Características dos Cabos MX CH'!$C$15:$J$20,6),(IF(J27="Quadruplex",VLOOKUP(M27,'Características dos Cabos MX CH'!$C$21:$K$27,6),(IF(J27="13",VLOOKUP(M27,'Características dos Cabos MX CH'!$C$15:$L$20,6),"")))))))</f>
        <v/>
      </c>
      <c r="T27" s="194" t="str">
        <f t="shared" si="8"/>
        <v/>
      </c>
      <c r="U27" s="447" t="str">
        <f>IF(J27="Duplex",VLOOKUP(M27,'Características dos Cabos MX CH'!$C$12:$I$14,2),(IF(J27="Triplex",VLOOKUP(M27,'Características dos Cabos MX CH'!$C$15:$J$20,2),(IF(J27="Quadruplex",VLOOKUP(M27,'Características dos Cabos MX CH'!$C$21:$K$27,2),(IF(J27="13",VLOOKUP(M27,'Características dos Cabos MX CH'!$C$15:$L$20,2),"")))))))</f>
        <v/>
      </c>
      <c r="V27" s="193" t="str">
        <f>IF(J27="Duplex",VLOOKUP(M27,'Características dos Cabos MX CH'!$C$12:$I$14,3),(IF(J27="Triplex",VLOOKUP(M27,'Características dos Cabos MX CH'!$C$15:$J$20,3),(IF(J27="Quadruplex",VLOOKUP(M27,'Características dos Cabos MX CH'!$C$21:$K$27,3),(IF(J27="13",VLOOKUP(M27,'Características dos Cabos MX CH'!$C$15:$L$20,3),"")))))))</f>
        <v/>
      </c>
      <c r="W27" s="195" t="str">
        <f t="shared" si="9"/>
        <v/>
      </c>
      <c r="X27" s="195" t="str">
        <f t="shared" si="10"/>
        <v/>
      </c>
      <c r="Y27" s="196" t="str">
        <f t="shared" si="11"/>
        <v/>
      </c>
      <c r="AA27" s="396">
        <f t="shared" si="3"/>
        <v>0</v>
      </c>
      <c r="AB27" s="396">
        <f t="shared" si="4"/>
        <v>0</v>
      </c>
      <c r="AC27" s="395">
        <f>SUM($N$20:N27)</f>
        <v>0</v>
      </c>
      <c r="AD27" s="401"/>
      <c r="AE27" s="357" t="str">
        <f t="shared" si="12"/>
        <v/>
      </c>
      <c r="AF27" s="426">
        <f t="shared" si="0"/>
        <v>0</v>
      </c>
      <c r="AG27" s="424"/>
      <c r="AH27" s="420"/>
    </row>
    <row r="28" spans="1:34" ht="15" customHeight="1">
      <c r="A28" s="650"/>
      <c r="B28" s="660"/>
      <c r="C28" s="562"/>
      <c r="D28" s="563"/>
      <c r="E28" s="387"/>
      <c r="F28" s="357" t="str">
        <f t="shared" si="1"/>
        <v/>
      </c>
      <c r="G28" s="380"/>
      <c r="H28" s="190" t="str">
        <f>IF(AND(E28="",G28=""),"",SUM(F28:$G$31))</f>
        <v/>
      </c>
      <c r="I28" s="191"/>
      <c r="J28" s="188"/>
      <c r="K28" s="188"/>
      <c r="L28" s="197" t="str">
        <f>IF(J28="Duplex",VLOOKUP(M28,'Características dos Cabos M Lot'!$C$12:$I$14,7),(IF(J28="Triplex",VLOOKUP(M28,'Características dos Cabos M Lot'!$C$15:$J$20,8),(IF(J28="Quadruplex",VLOOKUP(M28,'Características dos Cabos M Lot'!$C$21:$K$27,9),(IF(J28="13",VLOOKUP(M28,'Características dos Cabos M Lot'!$C$15:$L$20,10),"")))))))</f>
        <v/>
      </c>
      <c r="M28" s="350" t="str">
        <f t="shared" si="5"/>
        <v/>
      </c>
      <c r="N28" s="375"/>
      <c r="O28" s="192" t="str">
        <f t="shared" si="6"/>
        <v/>
      </c>
      <c r="P28" s="192" t="str">
        <f>IF(O28="","",SUM($O$20:O28))</f>
        <v/>
      </c>
      <c r="Q28" s="192" t="str">
        <f t="shared" si="7"/>
        <v/>
      </c>
      <c r="R28" s="193" t="str">
        <f>IF(J28="Duplex",VLOOKUP(M28,'Características dos Cabos MX CH'!$C$12:$I$14,5),(IF(J28="Triplex",VLOOKUP(M28,'Características dos Cabos MX CH'!$C$15:$J$20,5),(IF(J28="Quadruplex",VLOOKUP(M28,'Características dos Cabos MX CH'!$C$21:$K$27,5),(IF(J28="13",VLOOKUP(M28,'Características dos Cabos MX CH'!$C$15:$L$20,5),"")))))))</f>
        <v/>
      </c>
      <c r="S28" s="193" t="str">
        <f>IF(J28="Duplex",VLOOKUP(M28,'Características dos Cabos MX CH'!$C$12:$I$14,6),(IF(J28="Triplex",VLOOKUP(M28,'Características dos Cabos MX CH'!$C$15:$J$20,6),(IF(J28="Quadruplex",VLOOKUP(M28,'Características dos Cabos MX CH'!$C$21:$K$27,6),(IF(J28="13",VLOOKUP(M28,'Características dos Cabos MX CH'!$C$15:$L$20,6),"")))))))</f>
        <v/>
      </c>
      <c r="T28" s="194" t="str">
        <f t="shared" si="8"/>
        <v/>
      </c>
      <c r="U28" s="447" t="str">
        <f>IF(J28="Duplex",VLOOKUP(M28,'Características dos Cabos MX CH'!$C$12:$I$14,2),(IF(J28="Triplex",VLOOKUP(M28,'Características dos Cabos MX CH'!$C$15:$J$20,2),(IF(J28="Quadruplex",VLOOKUP(M28,'Características dos Cabos MX CH'!$C$21:$K$27,2),(IF(J28="13",VLOOKUP(M28,'Características dos Cabos MX CH'!$C$15:$L$20,2),"")))))))</f>
        <v/>
      </c>
      <c r="V28" s="193" t="str">
        <f>IF(J28="Duplex",VLOOKUP(M28,'Características dos Cabos MX CH'!$C$12:$I$14,3),(IF(J28="Triplex",VLOOKUP(M28,'Características dos Cabos MX CH'!$C$15:$J$20,3),(IF(J28="Quadruplex",VLOOKUP(M28,'Características dos Cabos MX CH'!$C$21:$K$27,3),(IF(J28="13",VLOOKUP(M28,'Características dos Cabos MX CH'!$C$15:$L$20,3),"")))))))</f>
        <v/>
      </c>
      <c r="W28" s="195" t="str">
        <f t="shared" si="9"/>
        <v/>
      </c>
      <c r="X28" s="195" t="str">
        <f t="shared" si="10"/>
        <v/>
      </c>
      <c r="Y28" s="196" t="str">
        <f t="shared" si="11"/>
        <v/>
      </c>
      <c r="AA28" s="396">
        <f t="shared" si="3"/>
        <v>0</v>
      </c>
      <c r="AB28" s="396">
        <f t="shared" si="4"/>
        <v>0</v>
      </c>
      <c r="AC28" s="395">
        <f>SUM($N$20:N28)</f>
        <v>0</v>
      </c>
      <c r="AD28" s="401"/>
      <c r="AE28" s="357" t="str">
        <f t="shared" si="12"/>
        <v/>
      </c>
      <c r="AF28" s="426">
        <f t="shared" si="0"/>
        <v>0</v>
      </c>
      <c r="AG28" s="424"/>
      <c r="AH28" s="420"/>
    </row>
    <row r="29" spans="1:34" ht="15" customHeight="1">
      <c r="A29" s="650"/>
      <c r="B29" s="660"/>
      <c r="C29" s="562"/>
      <c r="D29" s="563"/>
      <c r="E29" s="387"/>
      <c r="F29" s="357" t="str">
        <f t="shared" si="1"/>
        <v/>
      </c>
      <c r="G29" s="380"/>
      <c r="H29" s="190" t="str">
        <f>IF(AND(E29="",G29=""),"",SUM(F29:$G$31))</f>
        <v/>
      </c>
      <c r="I29" s="191"/>
      <c r="J29" s="188"/>
      <c r="K29" s="188"/>
      <c r="L29" s="197" t="str">
        <f>IF(J29="Duplex",VLOOKUP(M29,'Características dos Cabos M Lot'!$C$12:$I$14,7),(IF(J29="Triplex",VLOOKUP(M29,'Características dos Cabos M Lot'!$C$15:$J$20,8),(IF(J29="Quadruplex",VLOOKUP(M29,'Características dos Cabos M Lot'!$C$21:$K$27,9),(IF(J29="13",VLOOKUP(M29,'Características dos Cabos M Lot'!$C$15:$L$20,10),"")))))))</f>
        <v/>
      </c>
      <c r="M29" s="350" t="str">
        <f t="shared" si="5"/>
        <v/>
      </c>
      <c r="N29" s="375"/>
      <c r="O29" s="192" t="str">
        <f t="shared" si="13" ref="O29">IF(OR(N29="",L29="",H29=""),"",N29*L29*H29)</f>
        <v/>
      </c>
      <c r="P29" s="192" t="str">
        <f>IF(O29="","",SUM($O$20:O29))</f>
        <v/>
      </c>
      <c r="Q29" s="192" t="str">
        <f t="shared" si="14" ref="Q29">IF(H29="","",IF(J29="Quadruplex",H29*1000/($D$13*SQRT(3)),IF(J29="Triplex",H29*1000*SQRT(3)/($D$13*2),IF(J29="Duplex",H29*1000*SQRT(3)/$D$13,IF(J29="13",H29*1000/$D$15,IF(J29="12",H29*1000*2/$D$15,"erro"))))))</f>
        <v/>
      </c>
      <c r="R29" s="193" t="str">
        <f>IF(J29="Duplex",VLOOKUP(M29,'Características dos Cabos MX CH'!$C$12:$I$14,5),(IF(J29="Triplex",VLOOKUP(M29,'Características dos Cabos MX CH'!$C$15:$J$20,5),(IF(J29="Quadruplex",VLOOKUP(M29,'Características dos Cabos MX CH'!$C$21:$K$27,5),(IF(J29="13",VLOOKUP(M29,'Características dos Cabos MX CH'!$C$15:$L$20,5),"")))))))</f>
        <v/>
      </c>
      <c r="S29" s="193" t="str">
        <f>IF(J29="Duplex",VLOOKUP(M29,'Características dos Cabos MX CH'!$C$12:$I$14,6),(IF(J29="Triplex",VLOOKUP(M29,'Características dos Cabos MX CH'!$C$15:$J$20,6),(IF(J29="Quadruplex",VLOOKUP(M29,'Características dos Cabos MX CH'!$C$21:$K$27,6),(IF(J29="13",VLOOKUP(M29,'Características dos Cabos MX CH'!$C$15:$L$20,6),"")))))))</f>
        <v/>
      </c>
      <c r="T29" s="194" t="str">
        <f t="shared" si="15" ref="T29">IF(OR(Q29="",R29="",S29=""),"",IF($L$11="PE",Q29/R29,IF($L$11="XLPE",Q29/S29,"")))</f>
        <v/>
      </c>
      <c r="U29" s="447" t="str">
        <f>IF(J29="Duplex",VLOOKUP(M29,'Características dos Cabos MX CH'!$C$12:$I$14,2),(IF(J29="Triplex",VLOOKUP(M29,'Características dos Cabos MX CH'!$C$15:$J$20,2),(IF(J29="Quadruplex",VLOOKUP(M29,'Características dos Cabos MX CH'!$C$21:$K$27,2),(IF(J29="13",VLOOKUP(M29,'Características dos Cabos MX CH'!$C$15:$L$20,2),"")))))))</f>
        <v/>
      </c>
      <c r="V29" s="193" t="str">
        <f>IF(J29="Duplex",VLOOKUP(M29,'Características dos Cabos MX CH'!$C$12:$I$14,3),(IF(J29="Triplex",VLOOKUP(M29,'Características dos Cabos MX CH'!$C$15:$J$20,3),(IF(J29="Quadruplex",VLOOKUP(M29,'Características dos Cabos MX CH'!$C$21:$K$27,3),(IF(J29="13",VLOOKUP(M29,'Características dos Cabos MX CH'!$C$15:$L$20,3),"")))))))</f>
        <v/>
      </c>
      <c r="W29" s="195" t="str">
        <f t="shared" si="16" ref="W29">IF(OR(O29="",$G$15="",H29="",N29=""),"",IF(J29="Quadruplex",3*$L$13*U29*O29/1000*R29^2*8.76,IF(J29="Triplex",2*$L$13*U29*O29/1000*R29^2*8.76,IF(J29="Duplex",$L$13*U29*O29/1000*R29^2*8.76))))</f>
        <v/>
      </c>
      <c r="X29" s="195" t="str">
        <f t="shared" si="17" ref="X29">IF(OR(O29="",$G$15="",H29="",N29=""),"",IF(J29="Quadruplex",3*$L$13*V29*O29/1000*R29^2*8.76,IF(J29="triplex",2*$L$13*V29*O29/1000*R29^2*8.76,IF(J29="Duplex",$L$13*V29*O29/1000*R29^2*8.76))))</f>
        <v/>
      </c>
      <c r="Y29" s="196" t="str">
        <f t="shared" si="18" ref="Y29">IF(OR(V29="",W29="",X29=""),"",IF($L$11="PE",W29,IF($L$11="XLPE",X29,"")))</f>
        <v/>
      </c>
      <c r="AA29" s="396">
        <f t="shared" si="3"/>
        <v>0</v>
      </c>
      <c r="AB29" s="396">
        <f t="shared" si="4"/>
        <v>0</v>
      </c>
      <c r="AC29" s="395">
        <f>SUM($N$20:N29)</f>
        <v>0</v>
      </c>
      <c r="AD29" s="401"/>
      <c r="AE29" s="357" t="str">
        <f t="shared" si="12"/>
        <v/>
      </c>
      <c r="AF29" s="426">
        <f t="shared" si="19" ref="AF29">G29</f>
        <v>0</v>
      </c>
      <c r="AG29" s="424"/>
      <c r="AH29" s="420"/>
    </row>
    <row r="30" spans="1:34" ht="15" customHeight="1">
      <c r="A30" s="650"/>
      <c r="B30" s="660"/>
      <c r="C30" s="562"/>
      <c r="D30" s="563"/>
      <c r="E30" s="387"/>
      <c r="F30" s="357" t="str">
        <f t="shared" si="1"/>
        <v/>
      </c>
      <c r="G30" s="380"/>
      <c r="H30" s="190" t="str">
        <f>IF(AND(E30="",G30=""),"",SUM(F30:$G$31))</f>
        <v/>
      </c>
      <c r="I30" s="191"/>
      <c r="J30" s="188"/>
      <c r="K30" s="188"/>
      <c r="L30" s="197" t="str">
        <f>IF(J30="Duplex",VLOOKUP(M30,'Características dos Cabos M Lot'!$C$12:$I$14,7),(IF(J30="Triplex",VLOOKUP(M30,'Características dos Cabos M Lot'!$C$15:$J$20,8),(IF(J30="Quadruplex",VLOOKUP(M30,'Características dos Cabos M Lot'!$C$21:$K$27,9),(IF(J30="13",VLOOKUP(M30,'Características dos Cabos M Lot'!$C$15:$L$20,10),"")))))))</f>
        <v/>
      </c>
      <c r="M30" s="350" t="str">
        <f t="shared" si="5"/>
        <v/>
      </c>
      <c r="N30" s="375"/>
      <c r="O30" s="192" t="str">
        <f t="shared" si="6"/>
        <v/>
      </c>
      <c r="P30" s="192" t="str">
        <f>IF(O30="","",SUM($O$20:O30))</f>
        <v/>
      </c>
      <c r="Q30" s="192" t="str">
        <f t="shared" si="7"/>
        <v/>
      </c>
      <c r="R30" s="193" t="str">
        <f>IF(J30="Duplex",VLOOKUP(M30,'Características dos Cabos MX CH'!$C$12:$I$14,5),(IF(J30="Triplex",VLOOKUP(M30,'Características dos Cabos MX CH'!$C$15:$J$20,5),(IF(J30="Quadruplex",VLOOKUP(M30,'Características dos Cabos MX CH'!$C$21:$K$27,5),(IF(J30="13",VLOOKUP(M30,'Características dos Cabos MX CH'!$C$15:$L$20,5),"")))))))</f>
        <v/>
      </c>
      <c r="S30" s="193" t="str">
        <f>IF(J30="Duplex",VLOOKUP(M30,'Características dos Cabos MX CH'!$C$12:$I$14,6),(IF(J30="Triplex",VLOOKUP(M30,'Características dos Cabos MX CH'!$C$15:$J$20,6),(IF(J30="Quadruplex",VLOOKUP(M30,'Características dos Cabos MX CH'!$C$21:$K$27,6),(IF(J30="13",VLOOKUP(M30,'Características dos Cabos MX CH'!$C$15:$L$20,6),"")))))))</f>
        <v/>
      </c>
      <c r="T30" s="194" t="str">
        <f t="shared" si="8"/>
        <v/>
      </c>
      <c r="U30" s="447" t="str">
        <f>IF(J30="Duplex",VLOOKUP(M30,'Características dos Cabos MX CH'!$C$12:$I$14,2),(IF(J30="Triplex",VLOOKUP(M30,'Características dos Cabos MX CH'!$C$15:$J$20,2),(IF(J30="Quadruplex",VLOOKUP(M30,'Características dos Cabos MX CH'!$C$21:$K$27,2),(IF(J30="13",VLOOKUP(M30,'Características dos Cabos MX CH'!$C$15:$L$20,2),"")))))))</f>
        <v/>
      </c>
      <c r="V30" s="193" t="str">
        <f>IF(J30="Duplex",VLOOKUP(M30,'Características dos Cabos MX CH'!$C$12:$I$14,3),(IF(J30="Triplex",VLOOKUP(M30,'Características dos Cabos MX CH'!$C$15:$J$20,3),(IF(J30="Quadruplex",VLOOKUP(M30,'Características dos Cabos MX CH'!$C$21:$K$27,3),(IF(J30="13",VLOOKUP(M30,'Características dos Cabos MX CH'!$C$15:$L$20,3),"")))))))</f>
        <v/>
      </c>
      <c r="W30" s="195" t="str">
        <f t="shared" si="9"/>
        <v/>
      </c>
      <c r="X30" s="195" t="str">
        <f t="shared" si="10"/>
        <v/>
      </c>
      <c r="Y30" s="196" t="str">
        <f t="shared" si="11"/>
        <v/>
      </c>
      <c r="AA30" s="396">
        <f t="shared" si="3"/>
        <v>0</v>
      </c>
      <c r="AB30" s="396">
        <f t="shared" si="4"/>
        <v>0</v>
      </c>
      <c r="AC30" s="395">
        <f>SUM($N$20:N30)</f>
        <v>0</v>
      </c>
      <c r="AD30" s="401"/>
      <c r="AE30" s="357" t="str">
        <f t="shared" si="12"/>
        <v/>
      </c>
      <c r="AF30" s="426">
        <f t="shared" si="0"/>
        <v>0</v>
      </c>
      <c r="AG30" s="424"/>
      <c r="AH30" s="420"/>
    </row>
    <row r="31" spans="1:34" ht="15" customHeight="1" thickBot="1">
      <c r="A31" s="650"/>
      <c r="B31" s="661"/>
      <c r="C31" s="360"/>
      <c r="D31" s="361"/>
      <c r="E31" s="433"/>
      <c r="F31" s="357" t="str">
        <f t="shared" si="1"/>
        <v/>
      </c>
      <c r="G31" s="381"/>
      <c r="H31" s="200" t="str">
        <f>IF(AND(E31="",G31=""),"",SUM(F31:$G$31))</f>
        <v/>
      </c>
      <c r="I31" s="201"/>
      <c r="J31" s="198"/>
      <c r="K31" s="198"/>
      <c r="L31" s="197" t="str">
        <f>IF(J31="Duplex",VLOOKUP(M31,'Características dos Cabos M Lot'!$C$12:$I$14,7),(IF(J31="Triplex",VLOOKUP(M31,'Características dos Cabos M Lot'!$C$15:$J$20,8),(IF(J31="Quadruplex",VLOOKUP(M31,'Características dos Cabos M Lot'!$C$21:$K$27,9),(IF(J31="13",VLOOKUP(M31,'Características dos Cabos M Lot'!$C$15:$L$20,10),"")))))))</f>
        <v/>
      </c>
      <c r="M31" s="353" t="str">
        <f t="shared" si="5"/>
        <v/>
      </c>
      <c r="N31" s="375"/>
      <c r="O31" s="203" t="str">
        <f t="shared" si="6"/>
        <v/>
      </c>
      <c r="P31" s="203" t="str">
        <f>IF(O31="","",SUM($O$20:O31))</f>
        <v/>
      </c>
      <c r="Q31" s="203" t="str">
        <f t="shared" si="7"/>
        <v/>
      </c>
      <c r="R31" s="204" t="str">
        <f>IF(J31="Duplex",VLOOKUP(M31,'Características dos Cabos MX CH'!$C$12:$I$14,5),(IF(J31="Triplex",VLOOKUP(M31,'Características dos Cabos MX CH'!$C$15:$J$20,5),(IF(J31="Quadruplex",VLOOKUP(M31,'Características dos Cabos MX CH'!$C$21:$K$27,5),(IF(J31="13",VLOOKUP(M31,'Características dos Cabos MX CH'!$C$15:$L$20,5),"")))))))</f>
        <v/>
      </c>
      <c r="S31" s="204" t="str">
        <f>IF(J31="Duplex",VLOOKUP(M31,'Características dos Cabos MX CH'!$C$12:$I$14,6),(IF(J31="Triplex",VLOOKUP(M31,'Características dos Cabos MX CH'!$C$15:$J$20,6),(IF(J31="Quadruplex",VLOOKUP(M31,'Características dos Cabos MX CH'!$C$21:$K$27,6),(IF(J31="13",VLOOKUP(M31,'Características dos Cabos MX CH'!$C$15:$L$20,6),"")))))))</f>
        <v/>
      </c>
      <c r="T31" s="205" t="str">
        <f t="shared" si="8"/>
        <v/>
      </c>
      <c r="U31" s="448" t="str">
        <f>IF(J31="Duplex",VLOOKUP(M31,'Características dos Cabos MX CH'!$C$12:$I$14,2),(IF(J31="Triplex",VLOOKUP(M31,'Características dos Cabos MX CH'!$C$15:$J$20,2),(IF(J31="Quadruplex",VLOOKUP(M31,'Características dos Cabos MX CH'!$C$21:$K$27,2),(IF(J31="13",VLOOKUP(M31,'Características dos Cabos MX CH'!$C$15:$L$20,2),"")))))))</f>
        <v/>
      </c>
      <c r="V31" s="204" t="str">
        <f>IF(J31="Duplex",VLOOKUP(M31,'Características dos Cabos MX CH'!$C$12:$I$14,3),(IF(J31="Triplex",VLOOKUP(M31,'Características dos Cabos MX CH'!$C$15:$J$20,3),(IF(J31="Quadruplex",VLOOKUP(M31,'Características dos Cabos MX CH'!$C$21:$K$27,3),(IF(J31="13",VLOOKUP(M31,'Características dos Cabos MX CH'!$C$15:$L$20,3),"")))))))</f>
        <v/>
      </c>
      <c r="W31" s="206" t="str">
        <f t="shared" si="9"/>
        <v/>
      </c>
      <c r="X31" s="206" t="str">
        <f t="shared" si="10"/>
        <v/>
      </c>
      <c r="Y31" s="207" t="str">
        <f t="shared" si="11"/>
        <v/>
      </c>
      <c r="AA31" s="396">
        <f t="shared" si="3"/>
        <v>0</v>
      </c>
      <c r="AB31" s="396">
        <f t="shared" si="4"/>
        <v>0</v>
      </c>
      <c r="AC31" s="395">
        <f>SUM($N$20:N31)</f>
        <v>0</v>
      </c>
      <c r="AD31" s="401"/>
      <c r="AE31" s="357" t="str">
        <f t="shared" si="12"/>
        <v/>
      </c>
      <c r="AF31" s="426">
        <f t="shared" si="0"/>
        <v>0</v>
      </c>
      <c r="AG31" s="424"/>
      <c r="AH31" s="420"/>
    </row>
    <row r="32" spans="1:34" ht="15" customHeight="1" thickTop="1">
      <c r="A32" s="650"/>
      <c r="B32" s="649" t="s">
        <v>90</v>
      </c>
      <c r="C32" s="701" t="s">
        <v>64</v>
      </c>
      <c r="D32" s="663"/>
      <c r="E32" s="358" t="s">
        <v>64</v>
      </c>
      <c r="F32" s="182" t="s">
        <v>64</v>
      </c>
      <c r="G32" s="182" t="s">
        <v>64</v>
      </c>
      <c r="H32" s="182" t="s">
        <v>64</v>
      </c>
      <c r="I32" s="183"/>
      <c r="J32" s="182" t="s">
        <v>64</v>
      </c>
      <c r="K32" s="182" t="s">
        <v>64</v>
      </c>
      <c r="L32" s="184" t="s">
        <v>64</v>
      </c>
      <c r="M32" s="185"/>
      <c r="N32" s="182" t="s">
        <v>64</v>
      </c>
      <c r="O32" s="184" t="s">
        <v>67</v>
      </c>
      <c r="P32" s="184" t="s">
        <v>67</v>
      </c>
      <c r="Q32" s="184" t="s">
        <v>67</v>
      </c>
      <c r="R32" s="186" t="s">
        <v>122</v>
      </c>
      <c r="S32" s="186" t="s">
        <v>123</v>
      </c>
      <c r="T32" s="184" t="s">
        <v>67</v>
      </c>
      <c r="U32" s="186" t="s">
        <v>67</v>
      </c>
      <c r="V32" s="186"/>
      <c r="W32" s="186" t="s">
        <v>67</v>
      </c>
      <c r="X32" s="186" t="s">
        <v>64</v>
      </c>
      <c r="Y32" s="187" t="s">
        <v>65</v>
      </c>
      <c r="AA32" s="396"/>
      <c r="AB32" s="395"/>
      <c r="AC32" s="395"/>
      <c r="AD32" s="401"/>
      <c r="AE32" s="357"/>
      <c r="AF32" s="426" t="str">
        <f t="shared" si="20" ref="AF32">G32</f>
        <v>-------------</v>
      </c>
      <c r="AG32" s="424" t="e">
        <f>SQRT(3)*(Q33+Q46)*0.22</f>
        <v>#VALUE!</v>
      </c>
      <c r="AH32" s="420"/>
    </row>
    <row r="33" spans="1:34" ht="15" customHeight="1">
      <c r="A33" s="650"/>
      <c r="B33" s="650"/>
      <c r="C33" s="359" t="s">
        <v>71</v>
      </c>
      <c r="D33" s="564"/>
      <c r="E33" s="362"/>
      <c r="F33" s="357" t="str">
        <f t="shared" si="1"/>
        <v/>
      </c>
      <c r="G33" s="380"/>
      <c r="H33" s="190" t="str">
        <f>IF(AND(E33="",G33=""),"",SUM(F33:$G$44))</f>
        <v/>
      </c>
      <c r="I33" s="191"/>
      <c r="J33" s="188"/>
      <c r="K33" s="188"/>
      <c r="L33" s="197" t="str">
        <f>IF(J33="Duplex",VLOOKUP(M33,'Características dos Cabos M Lot'!$C$12:$I$14,7),(IF(J33="Triplex",VLOOKUP(M33,'Características dos Cabos M Lot'!$C$15:$J$20,8),(IF(J33="Quadruplex",VLOOKUP(M33,'Características dos Cabos M Lot'!$C$21:$K$27,9),(IF(J33="13",VLOOKUP(M33,'Características dos Cabos M Lot'!$C$15:$L$20,10),"")))))))</f>
        <v/>
      </c>
      <c r="M33" s="350" t="str">
        <f t="shared" si="5"/>
        <v/>
      </c>
      <c r="N33" s="375"/>
      <c r="O33" s="192" t="str">
        <f t="shared" si="6"/>
        <v/>
      </c>
      <c r="P33" s="192" t="str">
        <f>IF(O33="","",SUM($O$33:O33))</f>
        <v/>
      </c>
      <c r="Q33" s="192" t="str">
        <f t="shared" si="7"/>
        <v/>
      </c>
      <c r="R33" s="193" t="str">
        <f>IF(J33="Duplex",VLOOKUP(M33,'Características dos Cabos MX CH'!$C$12:$I$14,5),(IF(J33="Triplex",VLOOKUP(M33,'Características dos Cabos MX CH'!$C$15:$J$20,5),(IF(J33="Quadruplex",VLOOKUP(M33,'Características dos Cabos MX CH'!$C$21:$K$27,5),(IF(J33="13",VLOOKUP(M33,'Características dos Cabos MX CH'!$C$15:$L$20,5),"")))))))</f>
        <v/>
      </c>
      <c r="S33" s="193" t="str">
        <f>IF(J33="Duplex",VLOOKUP(M33,'Características dos Cabos MX CH'!$C$12:$I$14,6),(IF(J33="Triplex",VLOOKUP(M33,'Características dos Cabos MX CH'!$C$15:$J$20,6),(IF(J33="Quadruplex",VLOOKUP(M33,'Características dos Cabos MX CH'!$C$21:$K$27,6),(IF(J33="13",VLOOKUP(M33,'Características dos Cabos MX CH'!$C$15:$L$20,6),"")))))))</f>
        <v/>
      </c>
      <c r="T33" s="194" t="str">
        <f t="shared" si="8"/>
        <v/>
      </c>
      <c r="U33" s="447" t="str">
        <f>IF(J33="Duplex",VLOOKUP(M33,'Características dos Cabos MX CH'!$C$12:$I$14,2),(IF(J33="Triplex",VLOOKUP(M33,'Características dos Cabos MX CH'!$C$15:$J$20,2),(IF(J33="Quadruplex",VLOOKUP(M33,'Características dos Cabos MX CH'!$C$21:$K$27,2),(IF(J33="13",VLOOKUP(M33,'Características dos Cabos MX CH'!$C$15:$L$20,2),"")))))))</f>
        <v/>
      </c>
      <c r="V33" s="193" t="str">
        <f>IF(J33="Duplex",VLOOKUP(M33,'Características dos Cabos MX CH'!$C$12:$I$14,3),(IF(J33="Triplex",VLOOKUP(M33,'Características dos Cabos MX CH'!$C$15:$J$20,3),(IF(J33="Quadruplex",VLOOKUP(M33,'Características dos Cabos MX CH'!$C$21:$K$27,3),(IF(J33="13",VLOOKUP(M33,'Características dos Cabos MX CH'!$C$15:$L$20,3),"")))))))</f>
        <v/>
      </c>
      <c r="W33" s="195" t="str">
        <f t="shared" si="9"/>
        <v/>
      </c>
      <c r="X33" s="195" t="str">
        <f t="shared" si="10"/>
        <v/>
      </c>
      <c r="Y33" s="196" t="str">
        <f t="shared" si="11"/>
        <v/>
      </c>
      <c r="AA33" s="396">
        <f t="shared" si="3"/>
        <v>0</v>
      </c>
      <c r="AB33" s="396">
        <f t="shared" si="4"/>
        <v>0</v>
      </c>
      <c r="AC33" s="395">
        <f>SUM($N$33:N33)</f>
        <v>0</v>
      </c>
      <c r="AD33" s="401"/>
      <c r="AE33" s="357" t="str">
        <f t="shared" si="12"/>
        <v/>
      </c>
      <c r="AF33" s="426">
        <f t="shared" si="0"/>
        <v>0</v>
      </c>
      <c r="AG33" s="424"/>
      <c r="AH33" s="420"/>
    </row>
    <row r="34" spans="1:34" ht="15" customHeight="1">
      <c r="A34" s="650"/>
      <c r="B34" s="650"/>
      <c r="C34" s="562"/>
      <c r="D34" s="563"/>
      <c r="E34" s="362"/>
      <c r="F34" s="357" t="str">
        <f t="shared" si="1"/>
        <v/>
      </c>
      <c r="G34" s="380"/>
      <c r="H34" s="190" t="str">
        <f>IF(AND(E34="",G34=""),"",SUM(F34:$G$44))</f>
        <v/>
      </c>
      <c r="I34" s="191"/>
      <c r="J34" s="188"/>
      <c r="K34" s="188"/>
      <c r="L34" s="197" t="str">
        <f>IF(J34="Duplex",VLOOKUP(M34,'Características dos Cabos M Lot'!$C$12:$I$14,7),(IF(J34="Triplex",VLOOKUP(M34,'Características dos Cabos M Lot'!$C$15:$J$20,8),(IF(J34="Quadruplex",VLOOKUP(M34,'Características dos Cabos M Lot'!$C$21:$K$27,9),(IF(J34="13",VLOOKUP(M34,'Características dos Cabos M Lot'!$C$15:$L$20,10),"")))))))</f>
        <v/>
      </c>
      <c r="M34" s="350" t="str">
        <f t="shared" si="5"/>
        <v/>
      </c>
      <c r="N34" s="375"/>
      <c r="O34" s="192" t="str">
        <f t="shared" si="6"/>
        <v/>
      </c>
      <c r="P34" s="192" t="str">
        <f>IF(O34="","",SUM($O$33:O34))</f>
        <v/>
      </c>
      <c r="Q34" s="192" t="str">
        <f t="shared" si="7"/>
        <v/>
      </c>
      <c r="R34" s="193" t="str">
        <f>IF(J34="Duplex",VLOOKUP(M34,'Características dos Cabos MX CH'!$C$12:$I$14,5),(IF(J34="Triplex",VLOOKUP(M34,'Características dos Cabos MX CH'!$C$15:$J$20,5),(IF(J34="Quadruplex",VLOOKUP(M34,'Características dos Cabos MX CH'!$C$21:$K$27,5),(IF(J34="13",VLOOKUP(M34,'Características dos Cabos MX CH'!$C$15:$L$20,5),"")))))))</f>
        <v/>
      </c>
      <c r="S34" s="193" t="str">
        <f>IF(J34="Duplex",VLOOKUP(M34,'Características dos Cabos MX CH'!$C$12:$I$14,6),(IF(J34="Triplex",VLOOKUP(M34,'Características dos Cabos MX CH'!$C$15:$J$20,6),(IF(J34="Quadruplex",VLOOKUP(M34,'Características dos Cabos MX CH'!$C$21:$K$27,6),(IF(J34="13",VLOOKUP(M34,'Características dos Cabos MX CH'!$C$15:$L$20,6),"")))))))</f>
        <v/>
      </c>
      <c r="T34" s="194" t="str">
        <f t="shared" si="8"/>
        <v/>
      </c>
      <c r="U34" s="447" t="str">
        <f>IF(J34="Duplex",VLOOKUP(M34,'Características dos Cabos MX CH'!$C$12:$I$14,2),(IF(J34="Triplex",VLOOKUP(M34,'Características dos Cabos MX CH'!$C$15:$J$20,2),(IF(J34="Quadruplex",VLOOKUP(M34,'Características dos Cabos MX CH'!$C$21:$K$27,2),(IF(J34="13",VLOOKUP(M34,'Características dos Cabos MX CH'!$C$15:$L$20,2),"")))))))</f>
        <v/>
      </c>
      <c r="V34" s="193" t="str">
        <f>IF(J34="Duplex",VLOOKUP(M34,'Características dos Cabos MX CH'!$C$12:$I$14,3),(IF(J34="Triplex",VLOOKUP(M34,'Características dos Cabos MX CH'!$C$15:$J$20,3),(IF(J34="Quadruplex",VLOOKUP(M34,'Características dos Cabos MX CH'!$C$21:$K$27,3),(IF(J34="13",VLOOKUP(M34,'Características dos Cabos MX CH'!$C$15:$L$20,3),"")))))))</f>
        <v/>
      </c>
      <c r="W34" s="195" t="str">
        <f t="shared" si="9"/>
        <v/>
      </c>
      <c r="X34" s="195" t="str">
        <f t="shared" si="10"/>
        <v/>
      </c>
      <c r="Y34" s="196" t="str">
        <f t="shared" si="11"/>
        <v/>
      </c>
      <c r="AA34" s="396">
        <f t="shared" si="3"/>
        <v>0</v>
      </c>
      <c r="AB34" s="396">
        <f t="shared" si="4"/>
        <v>0</v>
      </c>
      <c r="AC34" s="395">
        <f>SUM($N$33:N34)</f>
        <v>0</v>
      </c>
      <c r="AD34" s="401"/>
      <c r="AE34" s="357" t="str">
        <f t="shared" si="12"/>
        <v/>
      </c>
      <c r="AF34" s="426">
        <f t="shared" si="0"/>
        <v>0</v>
      </c>
      <c r="AG34" s="424"/>
      <c r="AH34" s="420"/>
    </row>
    <row r="35" spans="1:34" ht="15" customHeight="1">
      <c r="A35" s="650"/>
      <c r="B35" s="650"/>
      <c r="C35" s="562"/>
      <c r="D35" s="563"/>
      <c r="E35" s="362"/>
      <c r="F35" s="357" t="str">
        <f t="shared" si="1"/>
        <v/>
      </c>
      <c r="G35" s="380"/>
      <c r="H35" s="190" t="str">
        <f>IF(AND(E35="",G35=""),"",SUM(F35:$G$44))</f>
        <v/>
      </c>
      <c r="I35" s="191"/>
      <c r="J35" s="188"/>
      <c r="K35" s="188"/>
      <c r="L35" s="197" t="str">
        <f>IF(J35="Duplex",VLOOKUP(M35,'Características dos Cabos M Lot'!$C$12:$I$14,7),(IF(J35="Triplex",VLOOKUP(M35,'Características dos Cabos M Lot'!$C$15:$J$20,8),(IF(J35="Quadruplex",VLOOKUP(M35,'Características dos Cabos M Lot'!$C$21:$K$27,9),(IF(J35="13",VLOOKUP(M35,'Características dos Cabos M Lot'!$C$15:$L$20,10),"")))))))</f>
        <v/>
      </c>
      <c r="M35" s="350" t="str">
        <f t="shared" si="5"/>
        <v/>
      </c>
      <c r="N35" s="375"/>
      <c r="O35" s="192" t="str">
        <f t="shared" si="6"/>
        <v/>
      </c>
      <c r="P35" s="192" t="str">
        <f>IF(O35="","",SUM($O$33:O35))</f>
        <v/>
      </c>
      <c r="Q35" s="192" t="str">
        <f t="shared" si="7"/>
        <v/>
      </c>
      <c r="R35" s="193" t="str">
        <f>IF(J35="Duplex",VLOOKUP(M35,'Características dos Cabos MX CH'!$C$12:$I$14,5),(IF(J35="Triplex",VLOOKUP(M35,'Características dos Cabos MX CH'!$C$15:$J$20,5),(IF(J35="Quadruplex",VLOOKUP(M35,'Características dos Cabos MX CH'!$C$21:$K$27,5),(IF(J35="13",VLOOKUP(M35,'Características dos Cabos MX CH'!$C$15:$L$20,5),"")))))))</f>
        <v/>
      </c>
      <c r="S35" s="193" t="str">
        <f>IF(J35="Duplex",VLOOKUP(M35,'Características dos Cabos MX CH'!$C$12:$I$14,6),(IF(J35="Triplex",VLOOKUP(M35,'Características dos Cabos MX CH'!$C$15:$J$20,6),(IF(J35="Quadruplex",VLOOKUP(M35,'Características dos Cabos MX CH'!$C$21:$K$27,6),(IF(J35="13",VLOOKUP(M35,'Características dos Cabos MX CH'!$C$15:$L$20,6),"")))))))</f>
        <v/>
      </c>
      <c r="T35" s="194" t="str">
        <f t="shared" si="8"/>
        <v/>
      </c>
      <c r="U35" s="447" t="str">
        <f>IF(J35="Duplex",VLOOKUP(M35,'Características dos Cabos MX CH'!$C$12:$I$14,2),(IF(J35="Triplex",VLOOKUP(M35,'Características dos Cabos MX CH'!$C$15:$J$20,2),(IF(J35="Quadruplex",VLOOKUP(M35,'Características dos Cabos MX CH'!$C$21:$K$27,2),(IF(J35="13",VLOOKUP(M35,'Características dos Cabos MX CH'!$C$15:$L$20,2),"")))))))</f>
        <v/>
      </c>
      <c r="V35" s="193" t="str">
        <f>IF(J35="Duplex",VLOOKUP(M35,'Características dos Cabos MX CH'!$C$12:$I$14,3),(IF(J35="Triplex",VLOOKUP(M35,'Características dos Cabos MX CH'!$C$15:$J$20,3),(IF(J35="Quadruplex",VLOOKUP(M35,'Características dos Cabos MX CH'!$C$21:$K$27,3),(IF(J35="13",VLOOKUP(M35,'Características dos Cabos MX CH'!$C$15:$L$20,3),"")))))))</f>
        <v/>
      </c>
      <c r="W35" s="195" t="str">
        <f t="shared" si="9"/>
        <v/>
      </c>
      <c r="X35" s="195" t="str">
        <f t="shared" si="10"/>
        <v/>
      </c>
      <c r="Y35" s="196" t="str">
        <f t="shared" si="11"/>
        <v/>
      </c>
      <c r="AA35" s="396">
        <f t="shared" si="3"/>
        <v>0</v>
      </c>
      <c r="AB35" s="396">
        <f t="shared" si="4"/>
        <v>0</v>
      </c>
      <c r="AC35" s="395">
        <f>SUM($N$33:N35)</f>
        <v>0</v>
      </c>
      <c r="AD35" s="401"/>
      <c r="AE35" s="357" t="str">
        <f t="shared" si="12"/>
        <v/>
      </c>
      <c r="AF35" s="426">
        <f t="shared" si="0"/>
        <v>0</v>
      </c>
      <c r="AG35" s="424"/>
      <c r="AH35" s="420"/>
    </row>
    <row r="36" spans="1:34" ht="15" customHeight="1">
      <c r="A36" s="650"/>
      <c r="B36" s="650"/>
      <c r="C36" s="562"/>
      <c r="D36" s="563"/>
      <c r="E36" s="362"/>
      <c r="F36" s="357" t="str">
        <f t="shared" si="1"/>
        <v/>
      </c>
      <c r="G36" s="380"/>
      <c r="H36" s="190" t="str">
        <f>IF(AND(E36="",G36=""),"",SUM(F36:$G$44))</f>
        <v/>
      </c>
      <c r="I36" s="191"/>
      <c r="J36" s="188"/>
      <c r="K36" s="188"/>
      <c r="L36" s="197" t="str">
        <f>IF(J36="Duplex",VLOOKUP(M36,'Características dos Cabos M Lot'!$C$12:$I$14,7),(IF(J36="Triplex",VLOOKUP(M36,'Características dos Cabos M Lot'!$C$15:$J$20,8),(IF(J36="Quadruplex",VLOOKUP(M36,'Características dos Cabos M Lot'!$C$21:$K$27,9),(IF(J36="13",VLOOKUP(M36,'Características dos Cabos M Lot'!$C$15:$L$20,10),"")))))))</f>
        <v/>
      </c>
      <c r="M36" s="350" t="str">
        <f t="shared" si="5"/>
        <v/>
      </c>
      <c r="N36" s="375"/>
      <c r="O36" s="192" t="str">
        <f t="shared" si="6"/>
        <v/>
      </c>
      <c r="P36" s="192" t="str">
        <f>IF(O36="","",SUM($O$33:O36))</f>
        <v/>
      </c>
      <c r="Q36" s="192" t="str">
        <f t="shared" si="7"/>
        <v/>
      </c>
      <c r="R36" s="193" t="str">
        <f>IF(J36="Duplex",VLOOKUP(M36,'Características dos Cabos MX CH'!$C$12:$I$14,5),(IF(J36="Triplex",VLOOKUP(M36,'Características dos Cabos MX CH'!$C$15:$J$20,5),(IF(J36="Quadruplex",VLOOKUP(M36,'Características dos Cabos MX CH'!$C$21:$K$27,5),(IF(J36="13",VLOOKUP(M36,'Características dos Cabos MX CH'!$C$15:$L$20,5),"")))))))</f>
        <v/>
      </c>
      <c r="S36" s="193" t="str">
        <f>IF(J36="Duplex",VLOOKUP(M36,'Características dos Cabos MX CH'!$C$12:$I$14,6),(IF(J36="Triplex",VLOOKUP(M36,'Características dos Cabos MX CH'!$C$15:$J$20,6),(IF(J36="Quadruplex",VLOOKUP(M36,'Características dos Cabos MX CH'!$C$21:$K$27,6),(IF(J36="13",VLOOKUP(M36,'Características dos Cabos MX CH'!$C$15:$L$20,6),"")))))))</f>
        <v/>
      </c>
      <c r="T36" s="194" t="str">
        <f t="shared" si="8"/>
        <v/>
      </c>
      <c r="U36" s="447" t="str">
        <f>IF(J36="Duplex",VLOOKUP(M36,'Características dos Cabos MX CH'!$C$12:$I$14,2),(IF(J36="Triplex",VLOOKUP(M36,'Características dos Cabos MX CH'!$C$15:$J$20,2),(IF(J36="Quadruplex",VLOOKUP(M36,'Características dos Cabos MX CH'!$C$21:$K$27,2),(IF(J36="13",VLOOKUP(M36,'Características dos Cabos MX CH'!$C$15:$L$20,2),"")))))))</f>
        <v/>
      </c>
      <c r="V36" s="193" t="str">
        <f>IF(J36="Duplex",VLOOKUP(M36,'Características dos Cabos MX CH'!$C$12:$I$14,3),(IF(J36="Triplex",VLOOKUP(M36,'Características dos Cabos MX CH'!$C$15:$J$20,3),(IF(J36="Quadruplex",VLOOKUP(M36,'Características dos Cabos MX CH'!$C$21:$K$27,3),(IF(J36="13",VLOOKUP(M36,'Características dos Cabos MX CH'!$C$15:$L$20,3),"")))))))</f>
        <v/>
      </c>
      <c r="W36" s="195" t="str">
        <f t="shared" si="9"/>
        <v/>
      </c>
      <c r="X36" s="195" t="str">
        <f t="shared" si="10"/>
        <v/>
      </c>
      <c r="Y36" s="196" t="str">
        <f t="shared" si="11"/>
        <v/>
      </c>
      <c r="AA36" s="396">
        <f t="shared" si="3"/>
        <v>0</v>
      </c>
      <c r="AB36" s="396">
        <f t="shared" si="4"/>
        <v>0</v>
      </c>
      <c r="AC36" s="395">
        <f>SUM($N$33:N36)</f>
        <v>0</v>
      </c>
      <c r="AD36" s="401"/>
      <c r="AE36" s="357" t="str">
        <f t="shared" si="12"/>
        <v/>
      </c>
      <c r="AF36" s="426">
        <f t="shared" si="0"/>
        <v>0</v>
      </c>
      <c r="AG36" s="424"/>
      <c r="AH36" s="420"/>
    </row>
    <row r="37" spans="1:34" ht="15" customHeight="1">
      <c r="A37" s="650"/>
      <c r="B37" s="650"/>
      <c r="C37" s="562"/>
      <c r="D37" s="563"/>
      <c r="E37" s="362"/>
      <c r="F37" s="357" t="str">
        <f t="shared" si="1"/>
        <v/>
      </c>
      <c r="G37" s="380"/>
      <c r="H37" s="190" t="str">
        <f>IF(AND(E37="",G37=""),"",SUM(F37:$G$44))</f>
        <v/>
      </c>
      <c r="I37" s="191"/>
      <c r="J37" s="188"/>
      <c r="K37" s="188"/>
      <c r="L37" s="197" t="str">
        <f>IF(J37="Duplex",VLOOKUP(M37,'Características dos Cabos M Lot'!$C$12:$I$14,7),(IF(J37="Triplex",VLOOKUP(M37,'Características dos Cabos M Lot'!$C$15:$J$20,8),(IF(J37="Quadruplex",VLOOKUP(M37,'Características dos Cabos M Lot'!$C$21:$K$27,9),(IF(J37="13",VLOOKUP(M37,'Características dos Cabos M Lot'!$C$15:$L$20,10),"")))))))</f>
        <v/>
      </c>
      <c r="M37" s="350" t="str">
        <f t="shared" si="5"/>
        <v/>
      </c>
      <c r="N37" s="375"/>
      <c r="O37" s="192" t="str">
        <f t="shared" si="6"/>
        <v/>
      </c>
      <c r="P37" s="192" t="str">
        <f>IF(O37="","",SUM($O$33:O37))</f>
        <v/>
      </c>
      <c r="Q37" s="192" t="str">
        <f t="shared" si="7"/>
        <v/>
      </c>
      <c r="R37" s="193" t="str">
        <f>IF(J37="Duplex",VLOOKUP(M37,'Características dos Cabos MX CH'!$C$12:$I$14,5),(IF(J37="Triplex",VLOOKUP(M37,'Características dos Cabos MX CH'!$C$15:$J$20,5),(IF(J37="Quadruplex",VLOOKUP(M37,'Características dos Cabos MX CH'!$C$21:$K$27,5),(IF(J37="13",VLOOKUP(M37,'Características dos Cabos MX CH'!$C$15:$L$20,5),"")))))))</f>
        <v/>
      </c>
      <c r="S37" s="193" t="str">
        <f>IF(J37="Duplex",VLOOKUP(M37,'Características dos Cabos MX CH'!$C$12:$I$14,6),(IF(J37="Triplex",VLOOKUP(M37,'Características dos Cabos MX CH'!$C$15:$J$20,6),(IF(J37="Quadruplex",VLOOKUP(M37,'Características dos Cabos MX CH'!$C$21:$K$27,6),(IF(J37="13",VLOOKUP(M37,'Características dos Cabos MX CH'!$C$15:$L$20,6),"")))))))</f>
        <v/>
      </c>
      <c r="T37" s="194" t="str">
        <f t="shared" si="8"/>
        <v/>
      </c>
      <c r="U37" s="447" t="str">
        <f>IF(J37="Duplex",VLOOKUP(M37,'Características dos Cabos MX CH'!$C$12:$I$14,2),(IF(J37="Triplex",VLOOKUP(M37,'Características dos Cabos MX CH'!$C$15:$J$20,2),(IF(J37="Quadruplex",VLOOKUP(M37,'Características dos Cabos MX CH'!$C$21:$K$27,2),(IF(J37="13",VLOOKUP(M37,'Características dos Cabos MX CH'!$C$15:$L$20,2),"")))))))</f>
        <v/>
      </c>
      <c r="V37" s="193" t="str">
        <f>IF(J37="Duplex",VLOOKUP(M37,'Características dos Cabos MX CH'!$C$12:$I$14,3),(IF(J37="Triplex",VLOOKUP(M37,'Características dos Cabos MX CH'!$C$15:$J$20,3),(IF(J37="Quadruplex",VLOOKUP(M37,'Características dos Cabos MX CH'!$C$21:$K$27,3),(IF(J37="13",VLOOKUP(M37,'Características dos Cabos MX CH'!$C$15:$L$20,3),"")))))))</f>
        <v/>
      </c>
      <c r="W37" s="195" t="str">
        <f t="shared" si="9"/>
        <v/>
      </c>
      <c r="X37" s="195" t="str">
        <f t="shared" si="10"/>
        <v/>
      </c>
      <c r="Y37" s="196" t="str">
        <f t="shared" si="11"/>
        <v/>
      </c>
      <c r="AA37" s="396">
        <f t="shared" si="3"/>
        <v>0</v>
      </c>
      <c r="AB37" s="396">
        <f t="shared" si="4"/>
        <v>0</v>
      </c>
      <c r="AC37" s="395">
        <f>SUM($N$33:N37)</f>
        <v>0</v>
      </c>
      <c r="AD37" s="401"/>
      <c r="AE37" s="357" t="str">
        <f t="shared" si="12"/>
        <v/>
      </c>
      <c r="AF37" s="426">
        <f t="shared" si="0"/>
        <v>0</v>
      </c>
      <c r="AG37" s="424"/>
      <c r="AH37" s="420"/>
    </row>
    <row r="38" spans="1:34" ht="15" customHeight="1">
      <c r="A38" s="650"/>
      <c r="B38" s="650"/>
      <c r="C38" s="562"/>
      <c r="D38" s="563"/>
      <c r="E38" s="362"/>
      <c r="F38" s="357" t="str">
        <f t="shared" si="1"/>
        <v/>
      </c>
      <c r="G38" s="380"/>
      <c r="H38" s="190" t="str">
        <f>IF(AND(E38="",G38=""),"",SUM(F38:$G$44))</f>
        <v/>
      </c>
      <c r="I38" s="191"/>
      <c r="J38" s="188"/>
      <c r="K38" s="188"/>
      <c r="L38" s="197" t="str">
        <f>IF(J38="Duplex",VLOOKUP(M38,'Características dos Cabos M Lot'!$C$12:$I$14,7),(IF(J38="Triplex",VLOOKUP(M38,'Características dos Cabos M Lot'!$C$15:$J$20,8),(IF(J38="Quadruplex",VLOOKUP(M38,'Características dos Cabos M Lot'!$C$21:$K$27,9),(IF(J38="13",VLOOKUP(M38,'Características dos Cabos M Lot'!$C$15:$L$20,10),"")))))))</f>
        <v/>
      </c>
      <c r="M38" s="350" t="str">
        <f t="shared" si="5"/>
        <v/>
      </c>
      <c r="N38" s="375"/>
      <c r="O38" s="192" t="str">
        <f t="shared" si="6"/>
        <v/>
      </c>
      <c r="P38" s="192" t="str">
        <f>IF(O38="","",SUM($O$33:O38))</f>
        <v/>
      </c>
      <c r="Q38" s="192" t="str">
        <f t="shared" si="7"/>
        <v/>
      </c>
      <c r="R38" s="193" t="str">
        <f>IF(J38="Duplex",VLOOKUP(M38,'Características dos Cabos MX CH'!$C$12:$I$14,5),(IF(J38="Triplex",VLOOKUP(M38,'Características dos Cabos MX CH'!$C$15:$J$20,5),(IF(J38="Quadruplex",VLOOKUP(M38,'Características dos Cabos MX CH'!$C$21:$K$27,5),(IF(J38="13",VLOOKUP(M38,'Características dos Cabos MX CH'!$C$15:$L$20,5),"")))))))</f>
        <v/>
      </c>
      <c r="S38" s="193" t="str">
        <f>IF(J38="Duplex",VLOOKUP(M38,'Características dos Cabos MX CH'!$C$12:$I$14,6),(IF(J38="Triplex",VLOOKUP(M38,'Características dos Cabos MX CH'!$C$15:$J$20,6),(IF(J38="Quadruplex",VLOOKUP(M38,'Características dos Cabos MX CH'!$C$21:$K$27,6),(IF(J38="13",VLOOKUP(M38,'Características dos Cabos MX CH'!$C$15:$L$20,6),"")))))))</f>
        <v/>
      </c>
      <c r="T38" s="194" t="str">
        <f t="shared" si="8"/>
        <v/>
      </c>
      <c r="U38" s="447" t="str">
        <f>IF(J38="Duplex",VLOOKUP(M38,'Características dos Cabos MX CH'!$C$12:$I$14,2),(IF(J38="Triplex",VLOOKUP(M38,'Características dos Cabos MX CH'!$C$15:$J$20,2),(IF(J38="Quadruplex",VLOOKUP(M38,'Características dos Cabos MX CH'!$C$21:$K$27,2),(IF(J38="13",VLOOKUP(M38,'Características dos Cabos MX CH'!$C$15:$L$20,2),"")))))))</f>
        <v/>
      </c>
      <c r="V38" s="193" t="str">
        <f>IF(J38="Duplex",VLOOKUP(M38,'Características dos Cabos MX CH'!$C$12:$I$14,3),(IF(J38="Triplex",VLOOKUP(M38,'Características dos Cabos MX CH'!$C$15:$J$20,3),(IF(J38="Quadruplex",VLOOKUP(M38,'Características dos Cabos MX CH'!$C$21:$K$27,3),(IF(J38="13",VLOOKUP(M38,'Características dos Cabos MX CH'!$C$15:$L$20,3),"")))))))</f>
        <v/>
      </c>
      <c r="W38" s="195" t="str">
        <f t="shared" si="9"/>
        <v/>
      </c>
      <c r="X38" s="195" t="str">
        <f t="shared" si="10"/>
        <v/>
      </c>
      <c r="Y38" s="196" t="str">
        <f t="shared" si="11"/>
        <v/>
      </c>
      <c r="AA38" s="396">
        <f t="shared" si="3"/>
        <v>0</v>
      </c>
      <c r="AB38" s="396">
        <f t="shared" si="4"/>
        <v>0</v>
      </c>
      <c r="AC38" s="395">
        <f>SUM($N$33:N38)</f>
        <v>0</v>
      </c>
      <c r="AD38" s="401"/>
      <c r="AE38" s="357" t="str">
        <f t="shared" si="12"/>
        <v/>
      </c>
      <c r="AF38" s="426">
        <f t="shared" si="0"/>
        <v>0</v>
      </c>
      <c r="AG38" s="424"/>
      <c r="AH38" s="420"/>
    </row>
    <row r="39" spans="1:34" ht="15" customHeight="1">
      <c r="A39" s="650"/>
      <c r="B39" s="650"/>
      <c r="C39" s="562"/>
      <c r="D39" s="563"/>
      <c r="E39" s="362"/>
      <c r="F39" s="357" t="str">
        <f t="shared" si="1"/>
        <v/>
      </c>
      <c r="G39" s="380"/>
      <c r="H39" s="190" t="str">
        <f>IF(AND(E39="",G39=""),"",SUM(F39:$G$44))</f>
        <v/>
      </c>
      <c r="I39" s="191"/>
      <c r="J39" s="188"/>
      <c r="K39" s="188"/>
      <c r="L39" s="197" t="str">
        <f>IF(J39="Duplex",VLOOKUP(M39,'Características dos Cabos M Lot'!$C$12:$I$14,7),(IF(J39="Triplex",VLOOKUP(M39,'Características dos Cabos M Lot'!$C$15:$J$20,8),(IF(J39="Quadruplex",VLOOKUP(M39,'Características dos Cabos M Lot'!$C$21:$K$27,9),(IF(J39="13",VLOOKUP(M39,'Características dos Cabos M Lot'!$C$15:$L$20,10),"")))))))</f>
        <v/>
      </c>
      <c r="M39" s="350" t="str">
        <f t="shared" si="5"/>
        <v/>
      </c>
      <c r="N39" s="375"/>
      <c r="O39" s="192" t="str">
        <f t="shared" si="6"/>
        <v/>
      </c>
      <c r="P39" s="192" t="str">
        <f>IF(O39="","",SUM($O$33:O39))</f>
        <v/>
      </c>
      <c r="Q39" s="192" t="str">
        <f t="shared" si="7"/>
        <v/>
      </c>
      <c r="R39" s="193" t="str">
        <f>IF(J39="Duplex",VLOOKUP(M39,'Características dos Cabos MX CH'!$C$12:$I$14,5),(IF(J39="Triplex",VLOOKUP(M39,'Características dos Cabos MX CH'!$C$15:$J$20,5),(IF(J39="Quadruplex",VLOOKUP(M39,'Características dos Cabos MX CH'!$C$21:$K$27,5),(IF(J39="13",VLOOKUP(M39,'Características dos Cabos MX CH'!$C$15:$L$20,5),"")))))))</f>
        <v/>
      </c>
      <c r="S39" s="193" t="str">
        <f>IF(J39="Duplex",VLOOKUP(M39,'Características dos Cabos MX CH'!$C$12:$I$14,6),(IF(J39="Triplex",VLOOKUP(M39,'Características dos Cabos MX CH'!$C$15:$J$20,6),(IF(J39="Quadruplex",VLOOKUP(M39,'Características dos Cabos MX CH'!$C$21:$K$27,6),(IF(J39="13",VLOOKUP(M39,'Características dos Cabos MX CH'!$C$15:$L$20,6),"")))))))</f>
        <v/>
      </c>
      <c r="T39" s="194" t="str">
        <f t="shared" si="8"/>
        <v/>
      </c>
      <c r="U39" s="447" t="str">
        <f>IF(J39="Duplex",VLOOKUP(M39,'Características dos Cabos MX CH'!$C$12:$I$14,2),(IF(J39="Triplex",VLOOKUP(M39,'Características dos Cabos MX CH'!$C$15:$J$20,2),(IF(J39="Quadruplex",VLOOKUP(M39,'Características dos Cabos MX CH'!$C$21:$K$27,2),(IF(J39="13",VLOOKUP(M39,'Características dos Cabos MX CH'!$C$15:$L$20,2),"")))))))</f>
        <v/>
      </c>
      <c r="V39" s="193" t="str">
        <f>IF(J39="Duplex",VLOOKUP(M39,'Características dos Cabos MX CH'!$C$12:$I$14,3),(IF(J39="Triplex",VLOOKUP(M39,'Características dos Cabos MX CH'!$C$15:$J$20,3),(IF(J39="Quadruplex",VLOOKUP(M39,'Características dos Cabos MX CH'!$C$21:$K$27,3),(IF(J39="13",VLOOKUP(M39,'Características dos Cabos MX CH'!$C$15:$L$20,3),"")))))))</f>
        <v/>
      </c>
      <c r="W39" s="195" t="str">
        <f t="shared" si="9"/>
        <v/>
      </c>
      <c r="X39" s="195" t="str">
        <f t="shared" si="10"/>
        <v/>
      </c>
      <c r="Y39" s="196" t="str">
        <f t="shared" si="11"/>
        <v/>
      </c>
      <c r="AA39" s="396">
        <f t="shared" si="3"/>
        <v>0</v>
      </c>
      <c r="AB39" s="396">
        <f t="shared" si="4"/>
        <v>0</v>
      </c>
      <c r="AC39" s="395">
        <f>SUM($N$33:N39)</f>
        <v>0</v>
      </c>
      <c r="AD39" s="401"/>
      <c r="AE39" s="357" t="str">
        <f t="shared" si="12"/>
        <v/>
      </c>
      <c r="AF39" s="426">
        <f t="shared" si="0"/>
        <v>0</v>
      </c>
      <c r="AG39" s="424"/>
      <c r="AH39" s="420"/>
    </row>
    <row r="40" spans="1:34" ht="15" customHeight="1">
      <c r="A40" s="650"/>
      <c r="B40" s="650"/>
      <c r="C40" s="562"/>
      <c r="D40" s="563"/>
      <c r="E40" s="362"/>
      <c r="F40" s="357" t="str">
        <f t="shared" si="1"/>
        <v/>
      </c>
      <c r="G40" s="380"/>
      <c r="H40" s="190" t="str">
        <f>IF(AND(E40="",G40=""),"",SUM(F40:$G$44))</f>
        <v/>
      </c>
      <c r="I40" s="191"/>
      <c r="J40" s="188"/>
      <c r="K40" s="188"/>
      <c r="L40" s="197" t="str">
        <f>IF(J40="Duplex",VLOOKUP(M40,'Características dos Cabos M Lot'!$C$12:$I$14,7),(IF(J40="Triplex",VLOOKUP(M40,'Características dos Cabos M Lot'!$C$15:$J$20,8),(IF(J40="Quadruplex",VLOOKUP(M40,'Características dos Cabos M Lot'!$C$21:$K$27,9),(IF(J40="13",VLOOKUP(M40,'Características dos Cabos M Lot'!$C$15:$L$20,10),"")))))))</f>
        <v/>
      </c>
      <c r="M40" s="350" t="str">
        <f t="shared" si="5"/>
        <v/>
      </c>
      <c r="N40" s="375"/>
      <c r="O40" s="192" t="str">
        <f t="shared" si="6"/>
        <v/>
      </c>
      <c r="P40" s="192" t="str">
        <f>IF(O40="","",SUM($O$33:O40))</f>
        <v/>
      </c>
      <c r="Q40" s="192" t="str">
        <f t="shared" si="7"/>
        <v/>
      </c>
      <c r="R40" s="193" t="str">
        <f>IF(J40="Duplex",VLOOKUP(M40,'Características dos Cabos MX CH'!$C$12:$I$14,5),(IF(J40="Triplex",VLOOKUP(M40,'Características dos Cabos MX CH'!$C$15:$J$20,5),(IF(J40="Quadruplex",VLOOKUP(M40,'Características dos Cabos MX CH'!$C$21:$K$27,5),(IF(J40="13",VLOOKUP(M40,'Características dos Cabos MX CH'!$C$15:$L$20,5),"")))))))</f>
        <v/>
      </c>
      <c r="S40" s="193" t="str">
        <f>IF(J40="Duplex",VLOOKUP(M40,'Características dos Cabos MX CH'!$C$12:$I$14,6),(IF(J40="Triplex",VLOOKUP(M40,'Características dos Cabos MX CH'!$C$15:$J$20,6),(IF(J40="Quadruplex",VLOOKUP(M40,'Características dos Cabos MX CH'!$C$21:$K$27,6),(IF(J40="13",VLOOKUP(M40,'Características dos Cabos MX CH'!$C$15:$L$20,6),"")))))))</f>
        <v/>
      </c>
      <c r="T40" s="194" t="str">
        <f t="shared" si="8"/>
        <v/>
      </c>
      <c r="U40" s="447" t="str">
        <f>IF(J40="Duplex",VLOOKUP(M40,'Características dos Cabos MX CH'!$C$12:$I$14,2),(IF(J40="Triplex",VLOOKUP(M40,'Características dos Cabos MX CH'!$C$15:$J$20,2),(IF(J40="Quadruplex",VLOOKUP(M40,'Características dos Cabos MX CH'!$C$21:$K$27,2),(IF(J40="13",VLOOKUP(M40,'Características dos Cabos MX CH'!$C$15:$L$20,2),"")))))))</f>
        <v/>
      </c>
      <c r="V40" s="193" t="str">
        <f>IF(J40="Duplex",VLOOKUP(M40,'Características dos Cabos MX CH'!$C$12:$I$14,3),(IF(J40="Triplex",VLOOKUP(M40,'Características dos Cabos MX CH'!$C$15:$J$20,3),(IF(J40="Quadruplex",VLOOKUP(M40,'Características dos Cabos MX CH'!$C$21:$K$27,3),(IF(J40="13",VLOOKUP(M40,'Características dos Cabos MX CH'!$C$15:$L$20,3),"")))))))</f>
        <v/>
      </c>
      <c r="W40" s="195" t="str">
        <f t="shared" si="9"/>
        <v/>
      </c>
      <c r="X40" s="195" t="str">
        <f t="shared" si="10"/>
        <v/>
      </c>
      <c r="Y40" s="196" t="str">
        <f t="shared" si="11"/>
        <v/>
      </c>
      <c r="AA40" s="396">
        <f t="shared" si="3"/>
        <v>0</v>
      </c>
      <c r="AB40" s="396">
        <f t="shared" si="4"/>
        <v>0</v>
      </c>
      <c r="AC40" s="395">
        <f>SUM($N$33:N40)</f>
        <v>0</v>
      </c>
      <c r="AD40" s="401"/>
      <c r="AE40" s="357" t="str">
        <f t="shared" si="12"/>
        <v/>
      </c>
      <c r="AF40" s="426">
        <f t="shared" si="0"/>
        <v>0</v>
      </c>
      <c r="AG40" s="424"/>
      <c r="AH40" s="420"/>
    </row>
    <row r="41" spans="1:34" ht="15" customHeight="1">
      <c r="A41" s="650"/>
      <c r="B41" s="650"/>
      <c r="C41" s="562"/>
      <c r="D41" s="563"/>
      <c r="E41" s="362"/>
      <c r="F41" s="357" t="str">
        <f t="shared" si="1"/>
        <v/>
      </c>
      <c r="G41" s="380"/>
      <c r="H41" s="190" t="str">
        <f>IF(AND(E41="",G41=""),"",SUM(F41:$G$44))</f>
        <v/>
      </c>
      <c r="I41" s="191"/>
      <c r="J41" s="188"/>
      <c r="K41" s="188"/>
      <c r="L41" s="197" t="str">
        <f>IF(J41="Duplex",VLOOKUP(M41,'Características dos Cabos M Lot'!$C$12:$I$14,7),(IF(J41="Triplex",VLOOKUP(M41,'Características dos Cabos M Lot'!$C$15:$J$20,8),(IF(J41="Quadruplex",VLOOKUP(M41,'Características dos Cabos M Lot'!$C$21:$K$27,9),(IF(J41="13",VLOOKUP(M41,'Características dos Cabos M Lot'!$C$15:$L$20,10),"")))))))</f>
        <v/>
      </c>
      <c r="M41" s="350" t="str">
        <f t="shared" si="5"/>
        <v/>
      </c>
      <c r="N41" s="375"/>
      <c r="O41" s="192" t="str">
        <f t="shared" si="6"/>
        <v/>
      </c>
      <c r="P41" s="192" t="str">
        <f>IF(O41="","",SUM($O$33:O41))</f>
        <v/>
      </c>
      <c r="Q41" s="192" t="str">
        <f t="shared" si="7"/>
        <v/>
      </c>
      <c r="R41" s="193" t="str">
        <f>IF(J41="Duplex",VLOOKUP(M41,'Características dos Cabos MX CH'!$C$12:$I$14,5),(IF(J41="Triplex",VLOOKUP(M41,'Características dos Cabos MX CH'!$C$15:$J$20,5),(IF(J41="Quadruplex",VLOOKUP(M41,'Características dos Cabos MX CH'!$C$21:$K$27,5),(IF(J41="13",VLOOKUP(M41,'Características dos Cabos MX CH'!$C$15:$L$20,5),"")))))))</f>
        <v/>
      </c>
      <c r="S41" s="193" t="str">
        <f>IF(J41="Duplex",VLOOKUP(M41,'Características dos Cabos MX CH'!$C$12:$I$14,6),(IF(J41="Triplex",VLOOKUP(M41,'Características dos Cabos MX CH'!$C$15:$J$20,6),(IF(J41="Quadruplex",VLOOKUP(M41,'Características dos Cabos MX CH'!$C$21:$K$27,6),(IF(J41="13",VLOOKUP(M41,'Características dos Cabos MX CH'!$C$15:$L$20,6),"")))))))</f>
        <v/>
      </c>
      <c r="T41" s="194" t="str">
        <f t="shared" si="8"/>
        <v/>
      </c>
      <c r="U41" s="447" t="str">
        <f>IF(J41="Duplex",VLOOKUP(M41,'Características dos Cabos MX CH'!$C$12:$I$14,2),(IF(J41="Triplex",VLOOKUP(M41,'Características dos Cabos MX CH'!$C$15:$J$20,2),(IF(J41="Quadruplex",VLOOKUP(M41,'Características dos Cabos MX CH'!$C$21:$K$27,2),(IF(J41="13",VLOOKUP(M41,'Características dos Cabos MX CH'!$C$15:$L$20,2),"")))))))</f>
        <v/>
      </c>
      <c r="V41" s="193" t="str">
        <f>IF(J41="Duplex",VLOOKUP(M41,'Características dos Cabos MX CH'!$C$12:$I$14,3),(IF(J41="Triplex",VLOOKUP(M41,'Características dos Cabos MX CH'!$C$15:$J$20,3),(IF(J41="Quadruplex",VLOOKUP(M41,'Características dos Cabos MX CH'!$C$21:$K$27,3),(IF(J41="13",VLOOKUP(M41,'Características dos Cabos MX CH'!$C$15:$L$20,3),"")))))))</f>
        <v/>
      </c>
      <c r="W41" s="195" t="str">
        <f t="shared" si="9"/>
        <v/>
      </c>
      <c r="X41" s="195" t="str">
        <f t="shared" si="10"/>
        <v/>
      </c>
      <c r="Y41" s="196" t="str">
        <f t="shared" si="11"/>
        <v/>
      </c>
      <c r="AA41" s="396">
        <f t="shared" si="3"/>
        <v>0</v>
      </c>
      <c r="AB41" s="396">
        <f t="shared" si="4"/>
        <v>0</v>
      </c>
      <c r="AC41" s="395">
        <f>SUM($N$33:N41)</f>
        <v>0</v>
      </c>
      <c r="AD41" s="401"/>
      <c r="AE41" s="357" t="str">
        <f t="shared" si="12"/>
        <v/>
      </c>
      <c r="AF41" s="426">
        <f t="shared" si="0"/>
        <v>0</v>
      </c>
      <c r="AG41" s="424"/>
      <c r="AH41" s="420"/>
    </row>
    <row r="42" spans="1:34" ht="15" customHeight="1">
      <c r="A42" s="650"/>
      <c r="B42" s="650"/>
      <c r="C42" s="562"/>
      <c r="D42" s="563"/>
      <c r="E42" s="362"/>
      <c r="F42" s="357" t="str">
        <f t="shared" si="1"/>
        <v/>
      </c>
      <c r="G42" s="380"/>
      <c r="H42" s="190" t="str">
        <f>IF(AND(E42="",G42=""),"",SUM(F42:$G$44))</f>
        <v/>
      </c>
      <c r="I42" s="191"/>
      <c r="J42" s="188"/>
      <c r="K42" s="188"/>
      <c r="L42" s="197" t="str">
        <f>IF(J42="Duplex",VLOOKUP(M42,'Características dos Cabos M Lot'!$C$12:$I$14,7),(IF(J42="Triplex",VLOOKUP(M42,'Características dos Cabos M Lot'!$C$15:$J$20,8),(IF(J42="Quadruplex",VLOOKUP(M42,'Características dos Cabos M Lot'!$C$21:$K$27,9),(IF(J42="13",VLOOKUP(M42,'Características dos Cabos M Lot'!$C$15:$L$20,10),"")))))))</f>
        <v/>
      </c>
      <c r="M42" s="350" t="str">
        <f t="shared" si="5"/>
        <v/>
      </c>
      <c r="N42" s="375"/>
      <c r="O42" s="192" t="str">
        <f t="shared" si="6"/>
        <v/>
      </c>
      <c r="P42" s="192" t="str">
        <f>IF(O42="","",SUM($O$33:O42))</f>
        <v/>
      </c>
      <c r="Q42" s="192" t="str">
        <f t="shared" si="7"/>
        <v/>
      </c>
      <c r="R42" s="193" t="str">
        <f>IF(J42="Duplex",VLOOKUP(M42,'Características dos Cabos MX CH'!$C$12:$I$14,5),(IF(J42="Triplex",VLOOKUP(M42,'Características dos Cabos MX CH'!$C$15:$J$20,5),(IF(J42="Quadruplex",VLOOKUP(M42,'Características dos Cabos MX CH'!$C$21:$K$27,5),(IF(J42="13",VLOOKUP(M42,'Características dos Cabos MX CH'!$C$15:$L$20,5),"")))))))</f>
        <v/>
      </c>
      <c r="S42" s="193" t="str">
        <f>IF(J42="Duplex",VLOOKUP(M42,'Características dos Cabos MX CH'!$C$12:$I$14,6),(IF(J42="Triplex",VLOOKUP(M42,'Características dos Cabos MX CH'!$C$15:$J$20,6),(IF(J42="Quadruplex",VLOOKUP(M42,'Características dos Cabos MX CH'!$C$21:$K$27,6),(IF(J42="13",VLOOKUP(M42,'Características dos Cabos MX CH'!$C$15:$L$20,6),"")))))))</f>
        <v/>
      </c>
      <c r="T42" s="194" t="str">
        <f t="shared" si="8"/>
        <v/>
      </c>
      <c r="U42" s="447" t="str">
        <f>IF(J42="Duplex",VLOOKUP(M42,'Características dos Cabos MX CH'!$C$12:$I$14,2),(IF(J42="Triplex",VLOOKUP(M42,'Características dos Cabos MX CH'!$C$15:$J$20,2),(IF(J42="Quadruplex",VLOOKUP(M42,'Características dos Cabos MX CH'!$C$21:$K$27,2),(IF(J42="13",VLOOKUP(M42,'Características dos Cabos MX CH'!$C$15:$L$20,2),"")))))))</f>
        <v/>
      </c>
      <c r="V42" s="193" t="str">
        <f>IF(J42="Duplex",VLOOKUP(M42,'Características dos Cabos MX CH'!$C$12:$I$14,3),(IF(J42="Triplex",VLOOKUP(M42,'Características dos Cabos MX CH'!$C$15:$J$20,3),(IF(J42="Quadruplex",VLOOKUP(M42,'Características dos Cabos MX CH'!$C$21:$K$27,3),(IF(J42="13",VLOOKUP(M42,'Características dos Cabos MX CH'!$C$15:$L$20,3),"")))))))</f>
        <v/>
      </c>
      <c r="W42" s="195" t="str">
        <f t="shared" si="9"/>
        <v/>
      </c>
      <c r="X42" s="195" t="str">
        <f t="shared" si="10"/>
        <v/>
      </c>
      <c r="Y42" s="196" t="str">
        <f t="shared" si="11"/>
        <v/>
      </c>
      <c r="AA42" s="396">
        <f t="shared" si="3"/>
        <v>0</v>
      </c>
      <c r="AB42" s="396">
        <f t="shared" si="4"/>
        <v>0</v>
      </c>
      <c r="AC42" s="395">
        <f>SUM($N$33:N42)</f>
        <v>0</v>
      </c>
      <c r="AD42" s="401"/>
      <c r="AE42" s="357" t="str">
        <f t="shared" si="12"/>
        <v/>
      </c>
      <c r="AF42" s="426">
        <f t="shared" si="0"/>
        <v>0</v>
      </c>
      <c r="AG42" s="424"/>
      <c r="AH42" s="420"/>
    </row>
    <row r="43" spans="1:34" ht="15" customHeight="1">
      <c r="A43" s="650"/>
      <c r="B43" s="650"/>
      <c r="C43" s="562"/>
      <c r="D43" s="563"/>
      <c r="E43" s="362"/>
      <c r="F43" s="458" t="str">
        <f t="shared" si="1"/>
        <v/>
      </c>
      <c r="G43" s="380"/>
      <c r="H43" s="190" t="str">
        <f>IF(AND(E43="",G43=""),"",SUM(F43:$G$44))</f>
        <v/>
      </c>
      <c r="I43" s="191"/>
      <c r="J43" s="188"/>
      <c r="K43" s="188"/>
      <c r="L43" s="197" t="str">
        <f>IF(J43="Duplex",VLOOKUP(M43,'Características dos Cabos M Lot'!$C$12:$I$14,7),(IF(J43="Triplex",VLOOKUP(M43,'Características dos Cabos M Lot'!$C$15:$J$20,8),(IF(J43="Quadruplex",VLOOKUP(M43,'Características dos Cabos M Lot'!$C$21:$K$27,9),(IF(J43="13",VLOOKUP(M43,'Características dos Cabos M Lot'!$C$15:$L$20,10),"")))))))</f>
        <v/>
      </c>
      <c r="M43" s="350" t="str">
        <f t="shared" si="5"/>
        <v/>
      </c>
      <c r="N43" s="375"/>
      <c r="O43" s="192" t="str">
        <f t="shared" si="6"/>
        <v/>
      </c>
      <c r="P43" s="192" t="str">
        <f>IF(O43="","",SUM($O$33:O43))</f>
        <v/>
      </c>
      <c r="Q43" s="192" t="str">
        <f t="shared" si="7"/>
        <v/>
      </c>
      <c r="R43" s="193" t="str">
        <f>IF(J43="Duplex",VLOOKUP(M43,'Características dos Cabos MX CH'!$C$12:$I$14,5),(IF(J43="Triplex",VLOOKUP(M43,'Características dos Cabos MX CH'!$C$15:$J$20,5),(IF(J43="Quadruplex",VLOOKUP(M43,'Características dos Cabos MX CH'!$C$21:$K$27,5),(IF(J43="13",VLOOKUP(M43,'Características dos Cabos MX CH'!$C$15:$L$20,5),"")))))))</f>
        <v/>
      </c>
      <c r="S43" s="193" t="str">
        <f>IF(J43="Duplex",VLOOKUP(M43,'Características dos Cabos MX CH'!$C$12:$I$14,6),(IF(J43="Triplex",VLOOKUP(M43,'Características dos Cabos MX CH'!$C$15:$J$20,6),(IF(J43="Quadruplex",VLOOKUP(M43,'Características dos Cabos MX CH'!$C$21:$K$27,6),(IF(J43="13",VLOOKUP(M43,'Características dos Cabos MX CH'!$C$15:$L$20,6),"")))))))</f>
        <v/>
      </c>
      <c r="T43" s="194" t="str">
        <f t="shared" si="8"/>
        <v/>
      </c>
      <c r="U43" s="447" t="str">
        <f>IF(J43="Duplex",VLOOKUP(M43,'Características dos Cabos MX CH'!$C$12:$I$14,2),(IF(J43="Triplex",VLOOKUP(M43,'Características dos Cabos MX CH'!$C$15:$J$20,2),(IF(J43="Quadruplex",VLOOKUP(M43,'Características dos Cabos MX CH'!$C$21:$K$27,2),(IF(J43="13",VLOOKUP(M43,'Características dos Cabos MX CH'!$C$15:$L$20,2),"")))))))</f>
        <v/>
      </c>
      <c r="V43" s="193" t="str">
        <f>IF(J43="Duplex",VLOOKUP(M43,'Características dos Cabos MX CH'!$C$12:$I$14,3),(IF(J43="Triplex",VLOOKUP(M43,'Características dos Cabos MX CH'!$C$15:$J$20,3),(IF(J43="Quadruplex",VLOOKUP(M43,'Características dos Cabos MX CH'!$C$21:$K$27,3),(IF(J43="13",VLOOKUP(M43,'Características dos Cabos MX CH'!$C$15:$L$20,3),"")))))))</f>
        <v/>
      </c>
      <c r="W43" s="195" t="str">
        <f t="shared" si="9"/>
        <v/>
      </c>
      <c r="X43" s="195" t="str">
        <f t="shared" si="10"/>
        <v/>
      </c>
      <c r="Y43" s="196" t="str">
        <f t="shared" si="11"/>
        <v/>
      </c>
      <c r="AA43" s="396">
        <f t="shared" si="3"/>
        <v>0</v>
      </c>
      <c r="AB43" s="396">
        <f t="shared" si="4"/>
        <v>0</v>
      </c>
      <c r="AC43" s="395">
        <f>SUM($N$33:N43)</f>
        <v>0</v>
      </c>
      <c r="AD43" s="401"/>
      <c r="AE43" s="357" t="str">
        <f t="shared" si="12"/>
        <v/>
      </c>
      <c r="AF43" s="426">
        <f t="shared" si="0"/>
        <v>0</v>
      </c>
      <c r="AG43" s="424"/>
      <c r="AH43" s="420"/>
    </row>
    <row r="44" spans="1:34" ht="15" customHeight="1" thickBot="1">
      <c r="A44" s="651"/>
      <c r="B44" s="651"/>
      <c r="C44" s="363"/>
      <c r="D44" s="364"/>
      <c r="E44" s="365"/>
      <c r="F44" s="460" t="str">
        <f t="shared" si="1"/>
        <v/>
      </c>
      <c r="G44" s="383"/>
      <c r="H44" s="200" t="str">
        <f>IF(AND(E44="",G44=""),"",SUM(F44:$G$44))</f>
        <v/>
      </c>
      <c r="I44" s="201"/>
      <c r="J44" s="198"/>
      <c r="K44" s="198"/>
      <c r="L44" s="202" t="str">
        <f>IF(J44="Duplex",VLOOKUP(M44,'Características dos Cabos M Lot'!$C$12:$I$14,7),(IF(J44="Triplex",VLOOKUP(M44,'Características dos Cabos M Lot'!$C$15:$J$20,8),(IF(J44="Quadruplex",VLOOKUP(M44,'Características dos Cabos M Lot'!$C$21:$K$27,9),(IF(J44="13",VLOOKUP(M44,'Características dos Cabos M Lot'!$C$15:$L$20,10),"")))))))</f>
        <v/>
      </c>
      <c r="M44" s="353" t="str">
        <f t="shared" si="5"/>
        <v/>
      </c>
      <c r="N44" s="376"/>
      <c r="O44" s="203" t="str">
        <f t="shared" si="6"/>
        <v/>
      </c>
      <c r="P44" s="203" t="str">
        <f>IF(O44="","",SUM($O$33:O44))</f>
        <v/>
      </c>
      <c r="Q44" s="203" t="str">
        <f t="shared" si="7"/>
        <v/>
      </c>
      <c r="R44" s="204" t="str">
        <f>IF(J44="Duplex",VLOOKUP(M44,'Características dos Cabos MX CH'!$C$12:$I$14,5),(IF(J44="Triplex",VLOOKUP(M44,'Características dos Cabos MX CH'!$C$15:$J$20,5),(IF(J44="Quadruplex",VLOOKUP(M44,'Características dos Cabos MX CH'!$C$21:$K$27,5),(IF(J44="13",VLOOKUP(M44,'Características dos Cabos MX CH'!$C$15:$L$20,5),"")))))))</f>
        <v/>
      </c>
      <c r="S44" s="204" t="str">
        <f>IF(J44="Duplex",VLOOKUP(M44,'Características dos Cabos MX CH'!$C$12:$I$14,6),(IF(J44="Triplex",VLOOKUP(M44,'Características dos Cabos MX CH'!$C$15:$J$20,6),(IF(J44="Quadruplex",VLOOKUP(M44,'Características dos Cabos MX CH'!$C$21:$K$27,6),(IF(J44="13",VLOOKUP(M44,'Características dos Cabos MX CH'!$C$15:$L$20,6),"")))))))</f>
        <v/>
      </c>
      <c r="T44" s="205" t="str">
        <f t="shared" si="8"/>
        <v/>
      </c>
      <c r="U44" s="448" t="str">
        <f>IF(J44="Duplex",VLOOKUP(M44,'Características dos Cabos MX CH'!$C$12:$I$14,2),(IF(J44="Triplex",VLOOKUP(M44,'Características dos Cabos MX CH'!$C$15:$J$20,2),(IF(J44="Quadruplex",VLOOKUP(M44,'Características dos Cabos MX CH'!$C$21:$K$27,2),(IF(J44="13",VLOOKUP(M44,'Características dos Cabos MX CH'!$C$15:$L$20,2),"")))))))</f>
        <v/>
      </c>
      <c r="V44" s="204" t="str">
        <f>IF(J44="Duplex",VLOOKUP(M44,'Características dos Cabos MX CH'!$C$12:$I$14,3),(IF(J44="Triplex",VLOOKUP(M44,'Características dos Cabos MX CH'!$C$15:$J$20,3),(IF(J44="Quadruplex",VLOOKUP(M44,'Características dos Cabos MX CH'!$C$21:$K$27,3),(IF(J44="13",VLOOKUP(M44,'Características dos Cabos MX CH'!$C$15:$L$20,3),"")))))))</f>
        <v/>
      </c>
      <c r="W44" s="206" t="str">
        <f t="shared" si="9"/>
        <v/>
      </c>
      <c r="X44" s="206" t="str">
        <f t="shared" si="10"/>
        <v/>
      </c>
      <c r="Y44" s="207" t="str">
        <f t="shared" si="11"/>
        <v/>
      </c>
      <c r="AA44" s="396">
        <f t="shared" si="3"/>
        <v>0</v>
      </c>
      <c r="AB44" s="396">
        <f t="shared" si="4"/>
        <v>0</v>
      </c>
      <c r="AC44" s="395">
        <f>SUM($N$33:N44)</f>
        <v>0</v>
      </c>
      <c r="AD44" s="401"/>
      <c r="AE44" s="357" t="str">
        <f t="shared" si="12"/>
        <v/>
      </c>
      <c r="AF44" s="426">
        <f t="shared" si="0"/>
        <v>0</v>
      </c>
      <c r="AG44" s="424"/>
      <c r="AH44" s="420"/>
    </row>
    <row r="45" spans="1:34" ht="20.25" customHeight="1" thickTop="1" thickBot="1">
      <c r="A45" s="2"/>
      <c r="B45" s="554"/>
      <c r="C45" s="555"/>
      <c r="D45" s="555"/>
      <c r="E45" s="294"/>
      <c r="F45" s="550"/>
      <c r="G45" s="294"/>
      <c r="H45" s="294"/>
      <c r="I45" s="294"/>
      <c r="J45" s="294"/>
      <c r="K45" s="294"/>
      <c r="L45" s="556"/>
      <c r="M45" s="557" t="str">
        <f t="shared" si="21" ref="M45">IF(K45="10","a",IF(K45="16","b",IF(K45="25","c",IF(K45="35","d",IF(K45="50","e",(IF(K45="70","f",(IF(K45="120","g","")))))))))</f>
        <v/>
      </c>
      <c r="N45" s="557"/>
      <c r="O45" s="558"/>
      <c r="P45" s="558"/>
      <c r="Q45" s="558"/>
      <c r="R45" s="294"/>
      <c r="S45" s="294"/>
      <c r="T45" s="294" t="str">
        <f t="shared" si="22" ref="T45:T46">IF(OR(Q45="",R45="",S45=""),"",IF(OR($L$11="PE",$L$11="pe"),Q45/R45,IF(OR($L$11="XLPE",$L$11="xlpe"),Q45/S45,"")))</f>
        <v/>
      </c>
      <c r="U45" s="294"/>
      <c r="V45" s="294"/>
      <c r="W45" s="559"/>
      <c r="X45" s="559"/>
      <c r="Y45" s="560" t="str">
        <f t="shared" si="23" ref="Y45">IF(OR(V45="",W45="",X45=""),"",IF(OR($L$11="PE",$L$11="pe"),W45,IF(OR($L$11="XLPE",$L$11="xlpe"),X45,"")))</f>
        <v/>
      </c>
      <c r="AD45" s="401"/>
      <c r="AE45" s="357" t="str">
        <f t="shared" si="12"/>
        <v/>
      </c>
      <c r="AF45" s="426">
        <f t="shared" si="24" ref="AF45:AF108">G45</f>
        <v>0</v>
      </c>
      <c r="AG45" s="424"/>
      <c r="AH45" s="420"/>
    </row>
    <row r="46" spans="1:34" ht="15" customHeight="1" thickTop="1">
      <c r="A46" s="695" t="s">
        <v>96</v>
      </c>
      <c r="B46" s="698" t="str">
        <f>CONCATENATE("Ramal 1 - Derivando no ponto ",C46)</f>
        <v xml:space="preserve">Ramal 1 - Derivando no ponto </v>
      </c>
      <c r="C46" s="565"/>
      <c r="D46" s="566"/>
      <c r="E46" s="549"/>
      <c r="F46" s="459" t="str">
        <f t="shared" si="1"/>
        <v/>
      </c>
      <c r="G46" s="456"/>
      <c r="H46" s="209" t="str">
        <f>IF(AND(E46="",G46=""),"",SUM(F46:G54))</f>
        <v/>
      </c>
      <c r="I46" s="210"/>
      <c r="J46" s="551"/>
      <c r="K46" s="551"/>
      <c r="L46" s="211" t="str">
        <f>IF(J46="Duplex",VLOOKUP(M46,'Características dos Cabos M Lot'!$C$12:$I$14,7),(IF(J46="Triplex",VLOOKUP(M46,'Características dos Cabos M Lot'!$C$15:$J$20,8),(IF(J46="Quadruplex",VLOOKUP(M46,'Características dos Cabos M Lot'!$C$21:$K$27,9),(IF(J46="13",VLOOKUP(M46,'Características dos Cabos M Lot'!$C$15:$L$20,10),"")))))))</f>
        <v/>
      </c>
      <c r="M46" s="354" t="str">
        <f t="shared" si="5"/>
        <v/>
      </c>
      <c r="N46" s="552"/>
      <c r="O46" s="212" t="str">
        <f t="shared" si="25" ref="O46:O77">IF(OR(N46="",L46="",H46=""),"",N46*L46*H46)</f>
        <v/>
      </c>
      <c r="P46" s="212" t="str">
        <f>IF(O46="","",O46+VLOOKUP(C46,$D$20:$Q$44,13,FALSE))</f>
        <v/>
      </c>
      <c r="Q46" s="212" t="str">
        <f t="shared" si="7"/>
        <v/>
      </c>
      <c r="R46" s="213" t="str">
        <f>IF(J46="Duplex",VLOOKUP(M46,'Características dos Cabos MX CH'!$C$12:$I$14,5),(IF(J46="Triplex",VLOOKUP(M46,'Características dos Cabos MX CH'!$C$15:$J$20,5),(IF(J46="Quadruplex",VLOOKUP(M46,'Características dos Cabos MX CH'!$C$21:$K$27,5),(IF(J46="13",VLOOKUP(M46,'Características dos Cabos MX CH'!$C$15:$L$20,5),"")))))))</f>
        <v/>
      </c>
      <c r="S46" s="213" t="str">
        <f>IF(J46="Duplex",VLOOKUP(M46,'Características dos Cabos MX CH'!$C$12:$I$14,6),(IF(J46="Triplex",VLOOKUP(M46,'Características dos Cabos MX CH'!$C$15:$J$20,6),(IF(J46="Quadruplex",VLOOKUP(M46,'Características dos Cabos MX CH'!$C$21:$K$27,6),(IF(J46="13",VLOOKUP(M46,'Características dos Cabos MX CH'!$C$15:$L$20,6),"")))))))</f>
        <v/>
      </c>
      <c r="T46" s="553" t="str">
        <f t="shared" si="22"/>
        <v/>
      </c>
      <c r="U46" s="450" t="str">
        <f>IF(J46="Duplex",VLOOKUP(M46,'Características dos Cabos MX CH'!$C$12:$I$14,2),(IF(J46="Triplex",VLOOKUP(M46,'Características dos Cabos MX CH'!$C$15:$J$20,2),(IF(J46="Quadruplex",VLOOKUP(M46,'Características dos Cabos MX CH'!$C$21:$K$27,2),(IF(J46="13",VLOOKUP(M46,'Características dos Cabos MX CH'!$C$15:$L$20,2),"")))))))</f>
        <v/>
      </c>
      <c r="V46" s="213" t="str">
        <f>IF(J46="Duplex",VLOOKUP(M46,'Características dos Cabos MX CH'!$C$12:$I$14,3),(IF(J46="Triplex",VLOOKUP(M46,'Características dos Cabos MX CH'!$C$15:$J$20,3),(IF(J46="Quadruplex",VLOOKUP(M46,'Características dos Cabos MX CH'!$C$21:$K$27,3),(IF(J46="13",VLOOKUP(M46,'Características dos Cabos MX CH'!$C$15:$L$20,3),"")))))))</f>
        <v/>
      </c>
      <c r="W46" s="215" t="str">
        <f t="shared" si="26" ref="W46">IF(OR(O46="",$G$15="",H46="",N46=""),"",IF(J46="Quadruplex",3*$L$13*U46*O46/1000*R46^2*8.76,IF(J46="Triplex",2*$L$13*U46*O46/1000*R46^2*8.76,IF(J46="Duplex",$L$13*U46*O46/1000*R46^2*8.76))))</f>
        <v/>
      </c>
      <c r="X46" s="215" t="str">
        <f t="shared" si="27" ref="X46">IF(OR(O46="",$G$15="",H46="",N46=""),"",IF(J46="Quadruplex",3*$L$13*V46*O46/1000*R46^2*8.76,IF(J46="triplex",2*$L$13*V46*O46/1000*R46^2*8.76,IF(J46="Duplex",$L$13*V46*O46/1000*R46^2*8.76))))</f>
        <v/>
      </c>
      <c r="Y46" s="216" t="str">
        <f t="shared" si="28" ref="Y46">IF(OR(V46="",W46="",X46=""),"",IF($L$11="PE",W46,IF($L$11="XLPE",X46,"")))</f>
        <v/>
      </c>
      <c r="Z46" s="393" t="str">
        <f>IF(O46="","",VLOOKUP(C46,$D$20:$P$44,13,FALSE))</f>
        <v/>
      </c>
      <c r="AA46" s="396">
        <f>D46</f>
        <v>0</v>
      </c>
      <c r="AB46" s="396">
        <f t="shared" si="4"/>
        <v>0</v>
      </c>
      <c r="AC46" s="395"/>
      <c r="AD46" s="408"/>
      <c r="AE46" s="357" t="str">
        <f t="shared" si="12"/>
        <v/>
      </c>
      <c r="AF46" s="426">
        <f t="shared" si="24"/>
        <v>0</v>
      </c>
      <c r="AG46" s="427"/>
      <c r="AH46" s="420"/>
    </row>
    <row r="47" spans="1:44" ht="15" customHeight="1">
      <c r="A47" s="696"/>
      <c r="B47" s="698"/>
      <c r="C47" s="562"/>
      <c r="D47" s="567"/>
      <c r="E47" s="391"/>
      <c r="F47" s="357" t="str">
        <f t="shared" si="1"/>
        <v/>
      </c>
      <c r="G47" s="382"/>
      <c r="H47" s="190" t="str">
        <f>IF(AND(E47="",G47=""),"",SUM(F47:G55))</f>
        <v/>
      </c>
      <c r="I47" s="191"/>
      <c r="J47" s="222"/>
      <c r="K47" s="222"/>
      <c r="L47" s="197" t="str">
        <f>IF(J47="Duplex",VLOOKUP(M47,'Características dos Cabos M Lot'!$C$12:$I$14,7),(IF(J47="Triplex",VLOOKUP(M47,'Características dos Cabos M Lot'!$C$15:$J$20,8),(IF(J47="Quadruplex",VLOOKUP(M47,'Características dos Cabos M Lot'!$C$21:$K$27,9),(IF(J47="13",VLOOKUP(M47,'Características dos Cabos M Lot'!$C$15:$L$20,10),"")))))))</f>
        <v/>
      </c>
      <c r="M47" s="350" t="str">
        <f t="shared" si="5"/>
        <v/>
      </c>
      <c r="N47" s="375"/>
      <c r="O47" s="192" t="str">
        <f t="shared" si="25"/>
        <v/>
      </c>
      <c r="P47" s="192" t="str">
        <f>IF(O47="","",SUM($O$46:O47)+$Z$46)</f>
        <v/>
      </c>
      <c r="Q47" s="192" t="str">
        <f>IF(H47="","",IF(J47="Quadruplex",H47*1000/($D$13*SQRT(3)),IF(J47="Triplex",H47*1000*SQRT(3)/($D$13*2),IF(J47="Duplex",H47*1000*SQRT(3)/$D$13,IF(J47="13",H47*1000/$D$15,IF(J47="12",H47*1000*2/$D$15,"erro"))))))</f>
        <v/>
      </c>
      <c r="R47" s="193" t="str">
        <f>IF(J47="Duplex",VLOOKUP(M47,'Características dos Cabos MX CH'!$C$12:$I$14,5),(IF(J47="Triplex",VLOOKUP(M47,'Características dos Cabos MX CH'!$C$15:$J$20,5),(IF(J47="Quadruplex",VLOOKUP(M47,'Características dos Cabos MX CH'!$C$21:$K$27,5),(IF(J47="13",VLOOKUP(M47,'Características dos Cabos MX CH'!$C$15:$L$20,5),"")))))))</f>
        <v/>
      </c>
      <c r="S47" s="193" t="str">
        <f>IF(J47="Duplex",VLOOKUP(M47,'Características dos Cabos MX CH'!$C$12:$I$14,6),(IF(J47="Triplex",VLOOKUP(M47,'Características dos Cabos MX CH'!$C$15:$J$20,6),(IF(J47="Quadruplex",VLOOKUP(M47,'Características dos Cabos MX CH'!$C$21:$K$27,6),(IF(J47="13",VLOOKUP(M47,'Características dos Cabos MX CH'!$C$15:$L$20,6),"")))))))</f>
        <v/>
      </c>
      <c r="T47" s="194" t="str">
        <f t="shared" si="29" ref="T47:T110">IF(OR(Q47="",R47="",S47=""),"",IF(OR($L$11="PE",$L$11="pe"),Q47/R47,IF(OR($L$11="XLPE",$L$11="xlpe"),Q47/S47,"")))</f>
        <v/>
      </c>
      <c r="U47" s="447" t="str">
        <f>IF(J47="Duplex",VLOOKUP(M47,'Características dos Cabos MX CH'!$C$12:$I$14,2),(IF(J47="Triplex",VLOOKUP(M47,'Características dos Cabos MX CH'!$C$15:$J$20,2),(IF(J47="Quadruplex",VLOOKUP(M47,'Características dos Cabos MX CH'!$C$21:$K$27,2),(IF(J47="13",VLOOKUP(M47,'Características dos Cabos MX CH'!$C$15:$L$20,2),"")))))))</f>
        <v/>
      </c>
      <c r="V47" s="193" t="str">
        <f>IF(J47="Duplex",VLOOKUP(M47,'Características dos Cabos MX CH'!$C$12:$I$14,3),(IF(J47="Triplex",VLOOKUP(M47,'Características dos Cabos MX CH'!$C$15:$J$20,3),(IF(J47="Quadruplex",VLOOKUP(M47,'Características dos Cabos MX CH'!$C$21:$K$27,3),(IF(J47="13",VLOOKUP(M47,'Características dos Cabos MX CH'!$C$15:$L$20,3),"")))))))</f>
        <v/>
      </c>
      <c r="W47" s="195" t="str">
        <f t="shared" si="30" ref="W47:W110">IF(OR(O47="",$G$15="",H47="",N47=""),"",IF(J47="Quadruplex",3*$L$13*U47*O47/1000*R47^2*8.76,IF(J47="Triplex",2*$L$13*U47*O47/1000*R47^2*8.76,IF(J47="Duplex",$L$13*U47*O47/1000*R47^2*8.76))))</f>
        <v/>
      </c>
      <c r="X47" s="195" t="str">
        <f t="shared" si="31" ref="X47:X110">IF(OR(O47="",$G$15="",H47="",N47=""),"",IF(J47="Quadruplex",3*$L$13*V47*O47/1000*R47^2*8.76,IF(J47="triplex",2*$L$13*V47*O47/1000*R47^2*8.76,IF(J47="Duplex",$L$13*V47*O47/1000*R47^2*8.76))))</f>
        <v/>
      </c>
      <c r="Y47" s="196" t="str">
        <f t="shared" si="32" ref="Y47:Y110">IF(OR(V47="",W47="",X47=""),"",IF($L$11="PE",W47,IF($L$11="XLPE",X47,"")))</f>
        <v/>
      </c>
      <c r="AA47" s="396">
        <f>D47</f>
        <v>0</v>
      </c>
      <c r="AB47" s="396">
        <f t="shared" si="4"/>
        <v>0</v>
      </c>
      <c r="AC47" s="395"/>
      <c r="AE47" s="357" t="str">
        <f t="shared" si="12"/>
        <v/>
      </c>
      <c r="AF47" s="426">
        <f t="shared" si="24"/>
        <v>0</v>
      </c>
      <c r="AG47" s="420"/>
      <c r="AH47" s="420"/>
      <c r="AO47" s="398"/>
      <c r="AP47" s="399"/>
      <c r="AQ47" s="399"/>
      <c r="AR47" s="400"/>
    </row>
    <row r="48" spans="1:44" ht="15" customHeight="1">
      <c r="A48" s="696"/>
      <c r="B48" s="698"/>
      <c r="C48" s="568"/>
      <c r="D48" s="567"/>
      <c r="E48" s="391"/>
      <c r="F48" s="357" t="str">
        <f t="shared" si="1"/>
        <v/>
      </c>
      <c r="G48" s="382"/>
      <c r="H48" s="190" t="str">
        <f>IF(AND(E48="",G48=""),"",SUM(F48:G55))</f>
        <v/>
      </c>
      <c r="I48" s="191"/>
      <c r="J48" s="222"/>
      <c r="K48" s="222"/>
      <c r="L48" s="197" t="str">
        <f>IF(J48="Duplex",VLOOKUP(M48,'Características dos Cabos M Lot'!$C$12:$I$14,7),(IF(J48="Triplex",VLOOKUP(M48,'Características dos Cabos M Lot'!$C$15:$J$20,8),(IF(J48="Quadruplex",VLOOKUP(M48,'Características dos Cabos M Lot'!$C$21:$K$27,9),(IF(J48="13",VLOOKUP(M48,'Características dos Cabos M Lot'!$C$15:$L$20,10),"")))))))</f>
        <v/>
      </c>
      <c r="M48" s="350" t="str">
        <f t="shared" si="5"/>
        <v/>
      </c>
      <c r="N48" s="375"/>
      <c r="O48" s="192" t="str">
        <f t="shared" si="25"/>
        <v/>
      </c>
      <c r="P48" s="192" t="str">
        <f>IF(O48="","",SUM($O$46:O48)+$Z$46)</f>
        <v/>
      </c>
      <c r="Q48" s="192" t="str">
        <f t="shared" si="7"/>
        <v/>
      </c>
      <c r="R48" s="193" t="str">
        <f>IF(J48="Duplex",VLOOKUP(M48,'Características dos Cabos MX CH'!$C$12:$I$14,5),(IF(J48="Triplex",VLOOKUP(M48,'Características dos Cabos MX CH'!$C$15:$J$20,5),(IF(J48="Quadruplex",VLOOKUP(M48,'Características dos Cabos MX CH'!$C$21:$K$27,5),(IF(J48="13",VLOOKUP(M48,'Características dos Cabos MX CH'!$C$15:$L$20,5),"")))))))</f>
        <v/>
      </c>
      <c r="S48" s="193" t="str">
        <f>IF(J48="Duplex",VLOOKUP(M48,'Características dos Cabos MX CH'!$C$12:$I$14,6),(IF(J48="Triplex",VLOOKUP(M48,'Características dos Cabos MX CH'!$C$15:$J$20,6),(IF(J48="Quadruplex",VLOOKUP(M48,'Características dos Cabos MX CH'!$C$21:$K$27,6),(IF(J48="13",VLOOKUP(M48,'Características dos Cabos MX CH'!$C$15:$L$20,6),"")))))))</f>
        <v/>
      </c>
      <c r="T48" s="194" t="str">
        <f t="shared" si="29"/>
        <v/>
      </c>
      <c r="U48" s="447" t="str">
        <f>IF(J48="Duplex",VLOOKUP(M48,'Características dos Cabos MX CH'!$C$12:$I$14,2),(IF(J48="Triplex",VLOOKUP(M48,'Características dos Cabos MX CH'!$C$15:$J$20,2),(IF(J48="Quadruplex",VLOOKUP(M48,'Características dos Cabos MX CH'!$C$21:$K$27,2),(IF(J48="13",VLOOKUP(M48,'Características dos Cabos MX CH'!$C$15:$L$20,2),"")))))))</f>
        <v/>
      </c>
      <c r="V48" s="193" t="str">
        <f>IF(J48="Duplex",VLOOKUP(M48,'Características dos Cabos MX CH'!$C$12:$I$14,3),(IF(J48="Triplex",VLOOKUP(M48,'Características dos Cabos MX CH'!$C$15:$J$20,3),(IF(J48="Quadruplex",VLOOKUP(M48,'Características dos Cabos MX CH'!$C$21:$K$27,3),(IF(J48="13",VLOOKUP(M48,'Características dos Cabos MX CH'!$C$15:$L$20,3),"")))))))</f>
        <v/>
      </c>
      <c r="W48" s="195" t="str">
        <f t="shared" si="30"/>
        <v/>
      </c>
      <c r="X48" s="195" t="str">
        <f t="shared" si="31"/>
        <v/>
      </c>
      <c r="Y48" s="196" t="str">
        <f t="shared" si="32"/>
        <v/>
      </c>
      <c r="AA48" s="396">
        <f>D48</f>
        <v>0</v>
      </c>
      <c r="AB48" s="396">
        <f t="shared" si="4"/>
        <v>0</v>
      </c>
      <c r="AC48" s="395"/>
      <c r="AE48" s="357" t="str">
        <f t="shared" si="12"/>
        <v/>
      </c>
      <c r="AF48" s="426">
        <f t="shared" si="24"/>
        <v>0</v>
      </c>
      <c r="AG48" s="420"/>
      <c r="AH48" s="420"/>
      <c r="AO48" s="401"/>
      <c r="AP48" s="411" t="s">
        <v>125</v>
      </c>
      <c r="AQ48" s="411" t="s">
        <v>126</v>
      </c>
      <c r="AR48" s="403"/>
    </row>
    <row r="49" spans="1:44" ht="15" customHeight="1">
      <c r="A49" s="696"/>
      <c r="B49" s="698"/>
      <c r="C49" s="568"/>
      <c r="D49" s="567"/>
      <c r="E49" s="391"/>
      <c r="F49" s="357" t="str">
        <f t="shared" si="1"/>
        <v/>
      </c>
      <c r="G49" s="382"/>
      <c r="H49" s="190" t="str">
        <f>IF(AND(E49="",G49=""),"",SUM(F49:G55))</f>
        <v/>
      </c>
      <c r="I49" s="191"/>
      <c r="J49" s="222"/>
      <c r="K49" s="222"/>
      <c r="L49" s="197" t="str">
        <f>IF(J49="Duplex",VLOOKUP(M49,'Características dos Cabos M Lot'!$C$12:$I$14,7),(IF(J49="Triplex",VLOOKUP(M49,'Características dos Cabos M Lot'!$C$15:$J$20,8),(IF(J49="Quadruplex",VLOOKUP(M49,'Características dos Cabos M Lot'!$C$21:$K$27,9),(IF(J49="13",VLOOKUP(M49,'Características dos Cabos M Lot'!$C$15:$L$20,10),"")))))))</f>
        <v/>
      </c>
      <c r="M49" s="350" t="str">
        <f>IF(K49=10,"a",IF(K49=16,"b",IF(K49=25,"c",IF(K49=35,"d",IF(K49=50,"e",(IF(K49=70,"f",(IF(K49=120,"g","")))))))))</f>
        <v/>
      </c>
      <c r="N49" s="375"/>
      <c r="O49" s="192" t="str">
        <f t="shared" si="25"/>
        <v/>
      </c>
      <c r="P49" s="192" t="str">
        <f>IF(O49="","",SUM($O$46:O49)+$Z$46)</f>
        <v/>
      </c>
      <c r="Q49" s="192" t="str">
        <f t="shared" si="7"/>
        <v/>
      </c>
      <c r="R49" s="193" t="str">
        <f>IF(J49="Duplex",VLOOKUP(M49,'Características dos Cabos MX CH'!$C$12:$I$14,5),(IF(J49="Triplex",VLOOKUP(M49,'Características dos Cabos MX CH'!$C$15:$J$20,5),(IF(J49="Quadruplex",VLOOKUP(M49,'Características dos Cabos MX CH'!$C$21:$K$27,5),(IF(J49="13",VLOOKUP(M49,'Características dos Cabos MX CH'!$C$15:$L$20,5),"")))))))</f>
        <v/>
      </c>
      <c r="S49" s="193" t="str">
        <f>IF(J49="Duplex",VLOOKUP(M49,'Características dos Cabos MX CH'!$C$12:$I$14,6),(IF(J49="Triplex",VLOOKUP(M49,'Características dos Cabos MX CH'!$C$15:$J$20,6),(IF(J49="Quadruplex",VLOOKUP(M49,'Características dos Cabos MX CH'!$C$21:$K$27,6),(IF(J49="13",VLOOKUP(M49,'Características dos Cabos MX CH'!$C$15:$L$20,6),"")))))))</f>
        <v/>
      </c>
      <c r="T49" s="194" t="str">
        <f t="shared" si="29"/>
        <v/>
      </c>
      <c r="U49" s="447" t="str">
        <f>IF(J49="Duplex",VLOOKUP(M49,'Características dos Cabos MX CH'!$C$12:$I$14,2),(IF(J49="Triplex",VLOOKUP(M49,'Características dos Cabos MX CH'!$C$15:$J$20,2),(IF(J49="Quadruplex",VLOOKUP(M49,'Características dos Cabos MX CH'!$C$21:$K$27,2),(IF(J49="13",VLOOKUP(M49,'Características dos Cabos MX CH'!$C$15:$L$20,2),"")))))))</f>
        <v/>
      </c>
      <c r="V49" s="193" t="str">
        <f>IF(J49="Duplex",VLOOKUP(M49,'Características dos Cabos MX CH'!$C$12:$I$14,3),(IF(J49="Triplex",VLOOKUP(M49,'Características dos Cabos MX CH'!$C$15:$J$20,3),(IF(J49="Quadruplex",VLOOKUP(M49,'Características dos Cabos MX CH'!$C$21:$K$27,3),(IF(J49="13",VLOOKUP(M49,'Características dos Cabos MX CH'!$C$15:$L$20,3),"")))))))</f>
        <v/>
      </c>
      <c r="W49" s="195" t="str">
        <f t="shared" si="30"/>
        <v/>
      </c>
      <c r="X49" s="195" t="str">
        <f t="shared" si="31"/>
        <v/>
      </c>
      <c r="Y49" s="196" t="str">
        <f t="shared" si="32"/>
        <v/>
      </c>
      <c r="AA49" s="396">
        <f>D49</f>
        <v>0</v>
      </c>
      <c r="AB49" s="396">
        <f>K49</f>
        <v>0</v>
      </c>
      <c r="AC49" s="397"/>
      <c r="AE49" s="357" t="str">
        <f t="shared" si="12"/>
        <v/>
      </c>
      <c r="AF49" s="426">
        <f t="shared" si="24"/>
        <v>0</v>
      </c>
      <c r="AG49" s="420"/>
      <c r="AH49" s="420"/>
      <c r="AO49" s="401"/>
      <c r="AP49" s="412">
        <v>1</v>
      </c>
      <c r="AQ49" s="412">
        <v>1</v>
      </c>
      <c r="AR49" s="403"/>
    </row>
    <row r="50" spans="1:44" ht="15" customHeight="1">
      <c r="A50" s="696"/>
      <c r="B50" s="698"/>
      <c r="C50" s="568"/>
      <c r="D50" s="567"/>
      <c r="E50" s="391"/>
      <c r="F50" s="357" t="str">
        <f t="shared" si="1"/>
        <v/>
      </c>
      <c r="G50" s="382"/>
      <c r="H50" s="190" t="str">
        <f>IF(AND(E50="",G50=""),"",SUM(F50:G55))</f>
        <v/>
      </c>
      <c r="I50" s="191"/>
      <c r="J50" s="222"/>
      <c r="K50" s="222"/>
      <c r="L50" s="197" t="str">
        <f>IF(J50="Duplex",VLOOKUP(M50,'Características dos Cabos M Lot'!$C$12:$I$14,7),(IF(J50="Triplex",VLOOKUP(M50,'Características dos Cabos M Lot'!$C$15:$J$20,8),(IF(J50="Quadruplex",VLOOKUP(M50,'Características dos Cabos M Lot'!$C$21:$K$27,9),(IF(J50="13",VLOOKUP(M50,'Características dos Cabos M Lot'!$C$15:$L$20,10),"")))))))</f>
        <v/>
      </c>
      <c r="M50" s="350" t="str">
        <f t="shared" si="5"/>
        <v/>
      </c>
      <c r="N50" s="375"/>
      <c r="O50" s="192" t="str">
        <f t="shared" si="25"/>
        <v/>
      </c>
      <c r="P50" s="192" t="str">
        <f>IF(O50="","",SUM($O$46:O50)+$Z$46)</f>
        <v/>
      </c>
      <c r="Q50" s="192" t="str">
        <f t="shared" si="7"/>
        <v/>
      </c>
      <c r="R50" s="193" t="str">
        <f>IF(J50="Duplex",VLOOKUP(M50,'Características dos Cabos MX CH'!$C$12:$I$14,5),(IF(J50="Triplex",VLOOKUP(M50,'Características dos Cabos MX CH'!$C$15:$J$20,5),(IF(J50="Quadruplex",VLOOKUP(M50,'Características dos Cabos MX CH'!$C$21:$K$27,5),(IF(J50="13",VLOOKUP(M50,'Características dos Cabos MX CH'!$C$15:$L$20,5),"")))))))</f>
        <v/>
      </c>
      <c r="S50" s="193" t="str">
        <f>IF(J50="Duplex",VLOOKUP(M50,'Características dos Cabos MX CH'!$C$12:$I$14,6),(IF(J50="Triplex",VLOOKUP(M50,'Características dos Cabos MX CH'!$C$15:$J$20,6),(IF(J50="Quadruplex",VLOOKUP(M50,'Características dos Cabos MX CH'!$C$21:$K$27,6),(IF(J50="13",VLOOKUP(M50,'Características dos Cabos MX CH'!$C$15:$L$20,6),"")))))))</f>
        <v/>
      </c>
      <c r="T50" s="194" t="str">
        <f t="shared" si="29"/>
        <v/>
      </c>
      <c r="U50" s="447" t="str">
        <f>IF(J50="Duplex",VLOOKUP(M50,'Características dos Cabos MX CH'!$C$12:$I$14,2),(IF(J50="Triplex",VLOOKUP(M50,'Características dos Cabos MX CH'!$C$15:$J$20,2),(IF(J50="Quadruplex",VLOOKUP(M50,'Características dos Cabos MX CH'!$C$21:$K$27,2),(IF(J50="13",VLOOKUP(M50,'Características dos Cabos MX CH'!$C$15:$L$20,2),"")))))))</f>
        <v/>
      </c>
      <c r="V50" s="193" t="str">
        <f>IF(J50="Duplex",VLOOKUP(M50,'Características dos Cabos MX CH'!$C$12:$I$14,3),(IF(J50="Triplex",VLOOKUP(M50,'Características dos Cabos MX CH'!$C$15:$J$20,3),(IF(J50="Quadruplex",VLOOKUP(M50,'Características dos Cabos MX CH'!$C$21:$K$27,3),(IF(J50="13",VLOOKUP(M50,'Características dos Cabos MX CH'!$C$15:$L$20,3),"")))))))</f>
        <v/>
      </c>
      <c r="W50" s="195" t="str">
        <f t="shared" si="30"/>
        <v/>
      </c>
      <c r="X50" s="195" t="str">
        <f t="shared" si="31"/>
        <v/>
      </c>
      <c r="Y50" s="196" t="str">
        <f t="shared" si="32"/>
        <v/>
      </c>
      <c r="AA50" s="396">
        <f t="shared" si="33" ref="AA50:AA77">D50</f>
        <v>0</v>
      </c>
      <c r="AB50" s="396">
        <f t="shared" si="4"/>
        <v>0</v>
      </c>
      <c r="AC50" s="397"/>
      <c r="AE50" s="357" t="str">
        <f t="shared" si="12"/>
        <v/>
      </c>
      <c r="AF50" s="426">
        <f t="shared" si="24"/>
        <v>0</v>
      </c>
      <c r="AG50" s="420"/>
      <c r="AH50" s="420"/>
      <c r="AO50" s="401"/>
      <c r="AP50" s="412">
        <v>10</v>
      </c>
      <c r="AQ50" s="412">
        <v>1</v>
      </c>
      <c r="AR50" s="403"/>
    </row>
    <row r="51" spans="1:44" ht="15" customHeight="1">
      <c r="A51" s="696"/>
      <c r="B51" s="698"/>
      <c r="C51" s="568"/>
      <c r="D51" s="567"/>
      <c r="E51" s="391"/>
      <c r="F51" s="357" t="str">
        <f t="shared" si="1"/>
        <v/>
      </c>
      <c r="G51" s="382"/>
      <c r="H51" s="190" t="str">
        <f>IF(AND(E51="",G51=""),"",SUM(F51:G55))</f>
        <v/>
      </c>
      <c r="I51" s="191"/>
      <c r="J51" s="222"/>
      <c r="K51" s="222"/>
      <c r="L51" s="197" t="str">
        <f>IF(J51="Duplex",VLOOKUP(M51,'Características dos Cabos M Lot'!$C$12:$I$14,7),(IF(J51="Triplex",VLOOKUP(M51,'Características dos Cabos M Lot'!$C$15:$J$20,8),(IF(J51="Quadruplex",VLOOKUP(M51,'Características dos Cabos M Lot'!$C$21:$K$27,9),(IF(J51="13",VLOOKUP(M51,'Características dos Cabos M Lot'!$C$15:$L$20,10),"")))))))</f>
        <v/>
      </c>
      <c r="M51" s="350" t="str">
        <f t="shared" si="5"/>
        <v/>
      </c>
      <c r="N51" s="375"/>
      <c r="O51" s="192" t="str">
        <f t="shared" si="25"/>
        <v/>
      </c>
      <c r="P51" s="192" t="str">
        <f>IF(O51="","",SUM($O$46:O51)+$Z$46)</f>
        <v/>
      </c>
      <c r="Q51" s="192" t="str">
        <f t="shared" si="7"/>
        <v/>
      </c>
      <c r="R51" s="193" t="str">
        <f>IF(J51="Duplex",VLOOKUP(M51,'Características dos Cabos MX CH'!$C$12:$I$14,5),(IF(J51="Triplex",VLOOKUP(M51,'Características dos Cabos MX CH'!$C$15:$J$20,5),(IF(J51="Quadruplex",VLOOKUP(M51,'Características dos Cabos MX CH'!$C$21:$K$27,5),(IF(J51="13",VLOOKUP(M51,'Características dos Cabos MX CH'!$C$15:$L$20,5),"")))))))</f>
        <v/>
      </c>
      <c r="S51" s="193" t="str">
        <f>IF(J51="Duplex",VLOOKUP(M51,'Características dos Cabos MX CH'!$C$12:$I$14,6),(IF(J51="Triplex",VLOOKUP(M51,'Características dos Cabos MX CH'!$C$15:$J$20,6),(IF(J51="Quadruplex",VLOOKUP(M51,'Características dos Cabos MX CH'!$C$21:$K$27,6),(IF(J51="13",VLOOKUP(M51,'Características dos Cabos MX CH'!$C$15:$L$20,6),"")))))))</f>
        <v/>
      </c>
      <c r="T51" s="194" t="str">
        <f t="shared" si="29"/>
        <v/>
      </c>
      <c r="U51" s="447" t="str">
        <f>IF(J51="Duplex",VLOOKUP(M51,'Características dos Cabos MX CH'!$C$12:$I$14,2),(IF(J51="Triplex",VLOOKUP(M51,'Características dos Cabos MX CH'!$C$15:$J$20,2),(IF(J51="Quadruplex",VLOOKUP(M51,'Características dos Cabos MX CH'!$C$21:$K$27,2),(IF(J51="13",VLOOKUP(M51,'Características dos Cabos MX CH'!$C$15:$L$20,2),"")))))))</f>
        <v/>
      </c>
      <c r="V51" s="193" t="str">
        <f>IF(J51="Duplex",VLOOKUP(M51,'Características dos Cabos MX CH'!$C$12:$I$14,3),(IF(J51="Triplex",VLOOKUP(M51,'Características dos Cabos MX CH'!$C$15:$J$20,3),(IF(J51="Quadruplex",VLOOKUP(M51,'Características dos Cabos MX CH'!$C$21:$K$27,3),(IF(J51="13",VLOOKUP(M51,'Características dos Cabos MX CH'!$C$15:$L$20,3),"")))))))</f>
        <v/>
      </c>
      <c r="W51" s="195" t="str">
        <f t="shared" si="30"/>
        <v/>
      </c>
      <c r="X51" s="195" t="str">
        <f t="shared" si="31"/>
        <v/>
      </c>
      <c r="Y51" s="196" t="str">
        <f t="shared" si="32"/>
        <v/>
      </c>
      <c r="AA51" s="396">
        <f t="shared" si="33"/>
        <v>0</v>
      </c>
      <c r="AB51" s="396">
        <f t="shared" si="4"/>
        <v>0</v>
      </c>
      <c r="AC51" s="395"/>
      <c r="AE51" s="357" t="str">
        <f t="shared" si="12"/>
        <v/>
      </c>
      <c r="AF51" s="426">
        <f t="shared" si="24"/>
        <v>0</v>
      </c>
      <c r="AG51" s="420"/>
      <c r="AH51" s="420"/>
      <c r="AO51" s="401"/>
      <c r="AP51" s="412">
        <v>20</v>
      </c>
      <c r="AQ51" s="412">
        <v>1</v>
      </c>
      <c r="AR51" s="403"/>
    </row>
    <row r="52" spans="1:44" ht="15" customHeight="1">
      <c r="A52" s="696"/>
      <c r="B52" s="698"/>
      <c r="C52" s="568"/>
      <c r="D52" s="567"/>
      <c r="E52" s="367"/>
      <c r="F52" s="357" t="str">
        <f t="shared" si="1"/>
        <v/>
      </c>
      <c r="G52" s="382"/>
      <c r="H52" s="190" t="str">
        <f>IF(AND(E52="",G52=""),"",SUM(F52:G55))</f>
        <v/>
      </c>
      <c r="I52" s="191"/>
      <c r="J52" s="222"/>
      <c r="K52" s="222"/>
      <c r="L52" s="197" t="str">
        <f>IF(J52="Duplex",VLOOKUP(M52,'Características dos Cabos M Lot'!$C$12:$I$14,7),(IF(J52="Triplex",VLOOKUP(M52,'Características dos Cabos M Lot'!$C$15:$J$20,8),(IF(J52="Quadruplex",VLOOKUP(M52,'Características dos Cabos M Lot'!$C$21:$K$27,9),(IF(J52="13",VLOOKUP(M52,'Características dos Cabos M Lot'!$C$15:$L$20,10),"")))))))</f>
        <v/>
      </c>
      <c r="M52" s="350" t="str">
        <f t="shared" si="5"/>
        <v/>
      </c>
      <c r="N52" s="375"/>
      <c r="O52" s="192" t="str">
        <f t="shared" si="25"/>
        <v/>
      </c>
      <c r="P52" s="192" t="str">
        <f>IF(O52="","",SUM($O$46:O52)+$Z$46)</f>
        <v/>
      </c>
      <c r="Q52" s="192" t="str">
        <f t="shared" si="7"/>
        <v/>
      </c>
      <c r="R52" s="193" t="str">
        <f>IF(J52="Duplex",VLOOKUP(M52,'Características dos Cabos MX CH'!$C$12:$I$14,5),(IF(J52="Triplex",VLOOKUP(M52,'Características dos Cabos MX CH'!$C$15:$J$20,5),(IF(J52="Quadruplex",VLOOKUP(M52,'Características dos Cabos MX CH'!$C$21:$K$27,5),(IF(J52="13",VLOOKUP(M52,'Características dos Cabos MX CH'!$C$15:$L$20,5),"")))))))</f>
        <v/>
      </c>
      <c r="S52" s="193" t="str">
        <f>IF(J52="Duplex",VLOOKUP(M52,'Características dos Cabos MX CH'!$C$12:$I$14,6),(IF(J52="Triplex",VLOOKUP(M52,'Características dos Cabos MX CH'!$C$15:$J$20,6),(IF(J52="Quadruplex",VLOOKUP(M52,'Características dos Cabos MX CH'!$C$21:$K$27,6),(IF(J52="13",VLOOKUP(M52,'Características dos Cabos MX CH'!$C$15:$L$20,6),"")))))))</f>
        <v/>
      </c>
      <c r="T52" s="194" t="str">
        <f t="shared" si="29"/>
        <v/>
      </c>
      <c r="U52" s="447" t="str">
        <f>IF(J52="Duplex",VLOOKUP(M52,'Características dos Cabos MX CH'!$C$12:$I$14,2),(IF(J52="Triplex",VLOOKUP(M52,'Características dos Cabos MX CH'!$C$15:$J$20,2),(IF(J52="Quadruplex",VLOOKUP(M52,'Características dos Cabos MX CH'!$C$21:$K$27,2),(IF(J52="13",VLOOKUP(M52,'Características dos Cabos MX CH'!$C$15:$L$20,2),"")))))))</f>
        <v/>
      </c>
      <c r="V52" s="193" t="str">
        <f>IF(J52="Duplex",VLOOKUP(M52,'Características dos Cabos MX CH'!$C$12:$I$14,3),(IF(J52="Triplex",VLOOKUP(M52,'Características dos Cabos MX CH'!$C$15:$J$20,3),(IF(J52="Quadruplex",VLOOKUP(M52,'Características dos Cabos MX CH'!$C$21:$K$27,3),(IF(J52="13",VLOOKUP(M52,'Características dos Cabos MX CH'!$C$15:$L$20,3),"")))))))</f>
        <v/>
      </c>
      <c r="W52" s="195" t="str">
        <f t="shared" si="30"/>
        <v/>
      </c>
      <c r="X52" s="195" t="str">
        <f t="shared" si="31"/>
        <v/>
      </c>
      <c r="Y52" s="196" t="str">
        <f t="shared" si="32"/>
        <v/>
      </c>
      <c r="AA52" s="396">
        <f t="shared" si="33"/>
        <v>0</v>
      </c>
      <c r="AB52" s="396">
        <f t="shared" si="4"/>
        <v>0</v>
      </c>
      <c r="AC52" s="395"/>
      <c r="AE52" s="357" t="str">
        <f t="shared" si="12"/>
        <v/>
      </c>
      <c r="AF52" s="426">
        <f t="shared" si="24"/>
        <v>0</v>
      </c>
      <c r="AG52" s="420"/>
      <c r="AH52" s="420"/>
      <c r="AO52" s="401"/>
      <c r="AP52" s="412">
        <v>30</v>
      </c>
      <c r="AQ52" s="412">
        <v>1</v>
      </c>
      <c r="AR52" s="403"/>
    </row>
    <row r="53" spans="1:44" ht="15" customHeight="1">
      <c r="A53" s="696"/>
      <c r="B53" s="698"/>
      <c r="C53" s="367"/>
      <c r="D53" s="368"/>
      <c r="E53" s="367"/>
      <c r="F53" s="357" t="str">
        <f t="shared" si="1"/>
        <v/>
      </c>
      <c r="G53" s="382"/>
      <c r="H53" s="190" t="str">
        <f>IF(AND(E53="",G53=""),"",SUM(F53:G55))</f>
        <v/>
      </c>
      <c r="I53" s="191"/>
      <c r="J53" s="222"/>
      <c r="K53" s="222"/>
      <c r="L53" s="197" t="str">
        <f>IF(J53="Duplex",VLOOKUP(M53,'Características dos Cabos M Lot'!$C$12:$I$14,7),(IF(J53="Triplex",VLOOKUP(M53,'Características dos Cabos M Lot'!$C$15:$J$20,8),(IF(J53="Quadruplex",VLOOKUP(M53,'Características dos Cabos M Lot'!$C$21:$K$27,9),(IF(J53="13",VLOOKUP(M53,'Características dos Cabos M Lot'!$C$15:$L$20,10),"")))))))</f>
        <v/>
      </c>
      <c r="M53" s="350" t="str">
        <f t="shared" si="5"/>
        <v/>
      </c>
      <c r="N53" s="375"/>
      <c r="O53" s="192" t="str">
        <f t="shared" si="25"/>
        <v/>
      </c>
      <c r="P53" s="192" t="str">
        <f>IF(O53="","",SUM($O$46:O53)+$Z$46)</f>
        <v/>
      </c>
      <c r="Q53" s="192" t="str">
        <f t="shared" si="7"/>
        <v/>
      </c>
      <c r="R53" s="193" t="str">
        <f>IF(J53="Duplex",VLOOKUP(M53,'Características dos Cabos MX CH'!$C$12:$I$14,5),(IF(J53="Triplex",VLOOKUP(M53,'Características dos Cabos MX CH'!$C$15:$J$20,5),(IF(J53="Quadruplex",VLOOKUP(M53,'Características dos Cabos MX CH'!$C$21:$K$27,5),(IF(J53="13",VLOOKUP(M53,'Características dos Cabos MX CH'!$C$15:$L$20,5),"")))))))</f>
        <v/>
      </c>
      <c r="S53" s="193" t="str">
        <f>IF(J53="Duplex",VLOOKUP(M53,'Características dos Cabos MX CH'!$C$12:$I$14,6),(IF(J53="Triplex",VLOOKUP(M53,'Características dos Cabos MX CH'!$C$15:$J$20,6),(IF(J53="Quadruplex",VLOOKUP(M53,'Características dos Cabos MX CH'!$C$21:$K$27,6),(IF(J53="13",VLOOKUP(M53,'Características dos Cabos MX CH'!$C$15:$L$20,6),"")))))))</f>
        <v/>
      </c>
      <c r="T53" s="194" t="str">
        <f t="shared" si="29"/>
        <v/>
      </c>
      <c r="U53" s="447" t="str">
        <f>IF(J53="Duplex",VLOOKUP(M53,'Características dos Cabos MX CH'!$C$12:$I$14,2),(IF(J53="Triplex",VLOOKUP(M53,'Características dos Cabos MX CH'!$C$15:$J$20,2),(IF(J53="Quadruplex",VLOOKUP(M53,'Características dos Cabos MX CH'!$C$21:$K$27,2),(IF(J53="13",VLOOKUP(M53,'Características dos Cabos MX CH'!$C$15:$L$20,2),"")))))))</f>
        <v/>
      </c>
      <c r="V53" s="193" t="str">
        <f>IF(J53="Duplex",VLOOKUP(M53,'Características dos Cabos MX CH'!$C$12:$I$14,3),(IF(J53="Triplex",VLOOKUP(M53,'Características dos Cabos MX CH'!$C$15:$J$20,3),(IF(J53="Quadruplex",VLOOKUP(M53,'Características dos Cabos MX CH'!$C$21:$K$27,3),(IF(J53="13",VLOOKUP(M53,'Características dos Cabos MX CH'!$C$15:$L$20,3),"")))))))</f>
        <v/>
      </c>
      <c r="W53" s="195" t="str">
        <f t="shared" si="30"/>
        <v/>
      </c>
      <c r="X53" s="195" t="str">
        <f t="shared" si="31"/>
        <v/>
      </c>
      <c r="Y53" s="196" t="str">
        <f t="shared" si="32"/>
        <v/>
      </c>
      <c r="AA53" s="396">
        <f t="shared" si="33"/>
        <v>0</v>
      </c>
      <c r="AB53" s="396">
        <f t="shared" si="4"/>
        <v>0</v>
      </c>
      <c r="AC53" s="395"/>
      <c r="AE53" s="357" t="str">
        <f t="shared" si="12"/>
        <v/>
      </c>
      <c r="AF53" s="426">
        <f t="shared" si="24"/>
        <v>0</v>
      </c>
      <c r="AG53" s="420"/>
      <c r="AH53" s="420"/>
      <c r="AO53" s="401"/>
      <c r="AP53" s="412">
        <v>40</v>
      </c>
      <c r="AQ53" s="412">
        <v>1</v>
      </c>
      <c r="AR53" s="403"/>
    </row>
    <row r="54" spans="1:44" ht="15" customHeight="1">
      <c r="A54" s="696"/>
      <c r="B54" s="698"/>
      <c r="C54" s="367"/>
      <c r="D54" s="368"/>
      <c r="E54" s="372"/>
      <c r="F54" s="357" t="str">
        <f t="shared" si="1"/>
        <v/>
      </c>
      <c r="G54" s="382"/>
      <c r="H54" s="190" t="str">
        <f>IF(AND(E54="",G54=""),"",SUM(F54:G55))</f>
        <v/>
      </c>
      <c r="I54" s="191"/>
      <c r="J54" s="222"/>
      <c r="K54" s="222"/>
      <c r="L54" s="197" t="str">
        <f>IF(J54="Duplex",VLOOKUP(M54,'Características dos Cabos M Lot'!$C$12:$I$14,7),(IF(J54="Triplex",VLOOKUP(M54,'Características dos Cabos M Lot'!$C$15:$J$20,8),(IF(J54="Quadruplex",VLOOKUP(M54,'Características dos Cabos M Lot'!$C$21:$K$27,9),(IF(J54="13",VLOOKUP(M54,'Características dos Cabos M Lot'!$C$15:$L$20,10),"")))))))</f>
        <v/>
      </c>
      <c r="M54" s="350" t="str">
        <f t="shared" si="5"/>
        <v/>
      </c>
      <c r="N54" s="375"/>
      <c r="O54" s="192" t="str">
        <f t="shared" si="25"/>
        <v/>
      </c>
      <c r="P54" s="192" t="str">
        <f>IF(O54="","",SUM($O$46:O54)+$Z$46)</f>
        <v/>
      </c>
      <c r="Q54" s="192" t="str">
        <f t="shared" si="7"/>
        <v/>
      </c>
      <c r="R54" s="193" t="str">
        <f>IF(J54="Duplex",VLOOKUP(M54,'Características dos Cabos MX CH'!$C$12:$I$14,5),(IF(J54="Triplex",VLOOKUP(M54,'Características dos Cabos MX CH'!$C$15:$J$20,5),(IF(J54="Quadruplex",VLOOKUP(M54,'Características dos Cabos MX CH'!$C$21:$K$27,5),(IF(J54="13",VLOOKUP(M54,'Características dos Cabos MX CH'!$C$15:$L$20,5),"")))))))</f>
        <v/>
      </c>
      <c r="S54" s="193" t="str">
        <f>IF(J54="Duplex",VLOOKUP(M54,'Características dos Cabos MX CH'!$C$12:$I$14,6),(IF(J54="Triplex",VLOOKUP(M54,'Características dos Cabos MX CH'!$C$15:$J$20,6),(IF(J54="Quadruplex",VLOOKUP(M54,'Características dos Cabos MX CH'!$C$21:$K$27,6),(IF(J54="13",VLOOKUP(M54,'Características dos Cabos MX CH'!$C$15:$L$20,6),"")))))))</f>
        <v/>
      </c>
      <c r="T54" s="194" t="str">
        <f t="shared" si="29"/>
        <v/>
      </c>
      <c r="U54" s="447" t="str">
        <f>IF(J54="Duplex",VLOOKUP(M54,'Características dos Cabos MX CH'!$C$12:$I$14,2),(IF(J54="Triplex",VLOOKUP(M54,'Características dos Cabos MX CH'!$C$15:$J$20,2),(IF(J54="Quadruplex",VLOOKUP(M54,'Características dos Cabos MX CH'!$C$21:$K$27,2),(IF(J54="13",VLOOKUP(M54,'Características dos Cabos MX CH'!$C$15:$L$20,2),"")))))))</f>
        <v/>
      </c>
      <c r="V54" s="193" t="str">
        <f>IF(J54="Duplex",VLOOKUP(M54,'Características dos Cabos MX CH'!$C$12:$I$14,3),(IF(J54="Triplex",VLOOKUP(M54,'Características dos Cabos MX CH'!$C$15:$J$20,3),(IF(J54="Quadruplex",VLOOKUP(M54,'Características dos Cabos MX CH'!$C$21:$K$27,3),(IF(J54="13",VLOOKUP(M54,'Características dos Cabos MX CH'!$C$15:$L$20,3),"")))))))</f>
        <v/>
      </c>
      <c r="W54" s="195" t="str">
        <f t="shared" si="30"/>
        <v/>
      </c>
      <c r="X54" s="195" t="str">
        <f t="shared" si="31"/>
        <v/>
      </c>
      <c r="Y54" s="196" t="str">
        <f t="shared" si="32"/>
        <v/>
      </c>
      <c r="AA54" s="396">
        <f t="shared" si="33"/>
        <v>0</v>
      </c>
      <c r="AB54" s="396">
        <f t="shared" si="4"/>
        <v>0</v>
      </c>
      <c r="AC54" s="395"/>
      <c r="AE54" s="357" t="str">
        <f t="shared" si="12"/>
        <v/>
      </c>
      <c r="AF54" s="426">
        <f t="shared" si="24"/>
        <v>0</v>
      </c>
      <c r="AG54" s="420"/>
      <c r="AH54" s="420"/>
      <c r="AO54" s="401"/>
      <c r="AP54" s="413">
        <v>50</v>
      </c>
      <c r="AQ54" s="413">
        <v>1</v>
      </c>
      <c r="AR54" s="403"/>
    </row>
    <row r="55" spans="1:44" ht="15" customHeight="1" thickBot="1">
      <c r="A55" s="696"/>
      <c r="B55" s="699"/>
      <c r="C55" s="369"/>
      <c r="D55" s="370"/>
      <c r="E55" s="373"/>
      <c r="F55" s="461" t="str">
        <f t="shared" si="1"/>
        <v/>
      </c>
      <c r="G55" s="383"/>
      <c r="H55" s="200" t="str">
        <f>IF(AND(E55="",G55=""),"",SUM(F55:G55))</f>
        <v/>
      </c>
      <c r="I55" s="201"/>
      <c r="J55" s="223"/>
      <c r="K55" s="223"/>
      <c r="L55" s="202" t="str">
        <f>IF(J55="Duplex",VLOOKUP(M55,'Características dos Cabos M Lot'!$C$12:$I$14,7),(IF(J55="Triplex",VLOOKUP(M55,'Características dos Cabos M Lot'!$C$15:$J$20,8),(IF(J55="Quadruplex",VLOOKUP(M55,'Características dos Cabos M Lot'!$C$21:$K$27,9),(IF(J55="13",VLOOKUP(M55,'Características dos Cabos M Lot'!$C$15:$L$20,10),"")))))))</f>
        <v/>
      </c>
      <c r="M55" s="353" t="str">
        <f t="shared" si="5"/>
        <v/>
      </c>
      <c r="N55" s="376"/>
      <c r="O55" s="203" t="str">
        <f t="shared" si="25"/>
        <v/>
      </c>
      <c r="P55" s="203" t="str">
        <f>IF(O55="","",SUM($O$46:O55)+$Z$46)</f>
        <v/>
      </c>
      <c r="Q55" s="203" t="str">
        <f t="shared" si="7"/>
        <v/>
      </c>
      <c r="R55" s="204" t="str">
        <f>IF(J55="Duplex",VLOOKUP(M55,'Características dos Cabos MX CH'!$C$12:$I$14,5),(IF(J55="Triplex",VLOOKUP(M55,'Características dos Cabos MX CH'!$C$15:$J$20,5),(IF(J55="Quadruplex",VLOOKUP(M55,'Características dos Cabos MX CH'!$C$21:$K$27,5),(IF(J55="13",VLOOKUP(M55,'Características dos Cabos MX CH'!$C$15:$L$20,5),"")))))))</f>
        <v/>
      </c>
      <c r="S55" s="204" t="str">
        <f>IF(J55="Duplex",VLOOKUP(M55,'Características dos Cabos MX CH'!$C$12:$I$14,6),(IF(J55="Triplex",VLOOKUP(M55,'Características dos Cabos MX CH'!$C$15:$J$20,6),(IF(J55="Quadruplex",VLOOKUP(M55,'Características dos Cabos MX CH'!$C$21:$K$27,6),(IF(J55="13",VLOOKUP(M55,'Características dos Cabos MX CH'!$C$15:$L$20,6),"")))))))</f>
        <v/>
      </c>
      <c r="T55" s="561" t="str">
        <f t="shared" si="29"/>
        <v/>
      </c>
      <c r="U55" s="448" t="str">
        <f>IF(J55="Duplex",VLOOKUP(M55,'Características dos Cabos MX CH'!$C$12:$I$14,2),(IF(J55="Triplex",VLOOKUP(M55,'Características dos Cabos MX CH'!$C$15:$J$20,2),(IF(J55="Quadruplex",VLOOKUP(M55,'Características dos Cabos MX CH'!$C$21:$K$27,2),(IF(J55="13",VLOOKUP(M55,'Características dos Cabos MX CH'!$C$15:$L$20,2),"")))))))</f>
        <v/>
      </c>
      <c r="V55" s="204" t="str">
        <f>IF(J55="Duplex",VLOOKUP(M55,'Características dos Cabos MX CH'!$C$12:$I$14,3),(IF(J55="Triplex",VLOOKUP(M55,'Características dos Cabos MX CH'!$C$15:$J$20,3),(IF(J55="Quadruplex",VLOOKUP(M55,'Características dos Cabos MX CH'!$C$21:$K$27,3),(IF(J55="13",VLOOKUP(M55,'Características dos Cabos MX CH'!$C$15:$L$20,3),"")))))))</f>
        <v/>
      </c>
      <c r="W55" s="206" t="str">
        <f t="shared" si="30"/>
        <v/>
      </c>
      <c r="X55" s="206" t="str">
        <f t="shared" si="31"/>
        <v/>
      </c>
      <c r="Y55" s="207" t="str">
        <f t="shared" si="32"/>
        <v/>
      </c>
      <c r="AA55" s="396">
        <f t="shared" si="33"/>
        <v>0</v>
      </c>
      <c r="AB55" s="396">
        <f t="shared" si="4"/>
        <v>0</v>
      </c>
      <c r="AC55" s="395"/>
      <c r="AE55" s="357" t="str">
        <f t="shared" si="12"/>
        <v/>
      </c>
      <c r="AF55" s="426">
        <f t="shared" si="24"/>
        <v>0</v>
      </c>
      <c r="AG55" s="420"/>
      <c r="AH55" s="420"/>
      <c r="AO55" s="401"/>
      <c r="AP55" s="413">
        <v>60</v>
      </c>
      <c r="AQ55" s="413">
        <v>1.06</v>
      </c>
      <c r="AR55" s="403"/>
    </row>
    <row r="56" spans="1:44" ht="15" customHeight="1" thickTop="1">
      <c r="A56" s="696"/>
      <c r="B56" s="700" t="str">
        <f>CONCATENATE("Ramal 2 - Derivando no ponto ",C56)</f>
        <v xml:space="preserve">Ramal 2 - Derivando no ponto </v>
      </c>
      <c r="C56" s="565"/>
      <c r="D56" s="569"/>
      <c r="E56" s="549"/>
      <c r="F56" s="459" t="str">
        <f t="shared" si="1"/>
        <v/>
      </c>
      <c r="G56" s="456"/>
      <c r="H56" s="209" t="str">
        <f>IF(AND(E56="",G56=""),"",SUM(F56:G65))</f>
        <v/>
      </c>
      <c r="I56" s="210"/>
      <c r="J56" s="224"/>
      <c r="K56" s="224"/>
      <c r="L56" s="211" t="str">
        <f>IF(J56="Duplex",VLOOKUP(M56,'Características dos Cabos M Lot'!$C$12:$I$14,7),(IF(J56="Triplex",VLOOKUP(M56,'Características dos Cabos M Lot'!$C$15:$J$20,8),(IF(J56="Quadruplex",VLOOKUP(M56,'Características dos Cabos M Lot'!$C$21:$K$27,9),(IF(J56="13",VLOOKUP(M56,'Características dos Cabos M Lot'!$C$15:$L$20,10),"")))))))</f>
        <v/>
      </c>
      <c r="M56" s="354" t="str">
        <f t="shared" si="5"/>
        <v/>
      </c>
      <c r="N56" s="552"/>
      <c r="O56" s="212" t="str">
        <f t="shared" si="25"/>
        <v/>
      </c>
      <c r="P56" s="212" t="str">
        <f>IF(O56="","",O56+VLOOKUP(C56,$D$20:$Q$55,13,FALSE))</f>
        <v/>
      </c>
      <c r="Q56" s="212" t="str">
        <f t="shared" si="7"/>
        <v/>
      </c>
      <c r="R56" s="213" t="str">
        <f>IF(J56="Duplex",VLOOKUP(M56,'Características dos Cabos MX CH'!$C$12:$I$14,5),(IF(J56="Triplex",VLOOKUP(M56,'Características dos Cabos MX CH'!$C$15:$J$20,5),(IF(J56="Quadruplex",VLOOKUP(M56,'Características dos Cabos MX CH'!$C$21:$K$27,5),(IF(J56="13",VLOOKUP(M56,'Características dos Cabos MX CH'!$C$15:$L$20,5),"")))))))</f>
        <v/>
      </c>
      <c r="S56" s="213" t="str">
        <f>IF(J56="Duplex",VLOOKUP(M56,'Características dos Cabos MX CH'!$C$12:$I$14,6),(IF(J56="Triplex",VLOOKUP(M56,'Características dos Cabos MX CH'!$C$15:$J$20,6),(IF(J56="Quadruplex",VLOOKUP(M56,'Características dos Cabos MX CH'!$C$21:$K$27,6),(IF(J56="13",VLOOKUP(M56,'Características dos Cabos MX CH'!$C$15:$L$20,6),"")))))))</f>
        <v/>
      </c>
      <c r="T56" s="214" t="str">
        <f t="shared" si="29"/>
        <v/>
      </c>
      <c r="U56" s="450" t="str">
        <f>IF(J56="Duplex",VLOOKUP(M56,'Características dos Cabos MX CH'!$C$12:$I$14,2),(IF(J56="Triplex",VLOOKUP(M56,'Características dos Cabos MX CH'!$C$15:$J$20,2),(IF(J56="Quadruplex",VLOOKUP(M56,'Características dos Cabos MX CH'!$C$21:$K$27,2),(IF(J56="13",VLOOKUP(M56,'Características dos Cabos MX CH'!$C$15:$L$20,2),"")))))))</f>
        <v/>
      </c>
      <c r="V56" s="213" t="str">
        <f>IF(J56="Duplex",VLOOKUP(M56,'Características dos Cabos MX CH'!$C$12:$I$14,3),(IF(J56="Triplex",VLOOKUP(M56,'Características dos Cabos MX CH'!$C$15:$J$20,3),(IF(J56="Quadruplex",VLOOKUP(M56,'Características dos Cabos MX CH'!$C$21:$K$27,3),(IF(J56="13",VLOOKUP(M56,'Características dos Cabos MX CH'!$C$15:$L$20,3),"")))))))</f>
        <v/>
      </c>
      <c r="W56" s="215" t="str">
        <f t="shared" si="30"/>
        <v/>
      </c>
      <c r="X56" s="215" t="str">
        <f t="shared" si="31"/>
        <v/>
      </c>
      <c r="Y56" s="216" t="str">
        <f t="shared" si="32"/>
        <v/>
      </c>
      <c r="Z56" s="393" t="str">
        <f>IF(O56="","",VLOOKUP(C56,$D$20:$P$55,13,FALSE))</f>
        <v/>
      </c>
      <c r="AA56" s="396">
        <f t="shared" si="33"/>
        <v>0</v>
      </c>
      <c r="AB56" s="396">
        <f t="shared" si="4"/>
        <v>0</v>
      </c>
      <c r="AC56" s="395"/>
      <c r="AE56" s="357" t="str">
        <f t="shared" si="12"/>
        <v/>
      </c>
      <c r="AF56" s="426">
        <f t="shared" si="24"/>
        <v>0</v>
      </c>
      <c r="AG56" s="420"/>
      <c r="AH56" s="420"/>
      <c r="AO56" s="401"/>
      <c r="AP56" s="413">
        <v>70</v>
      </c>
      <c r="AQ56" s="413">
        <v>1.1200000000000001</v>
      </c>
      <c r="AR56" s="403"/>
    </row>
    <row r="57" spans="1:44" ht="15" customHeight="1">
      <c r="A57" s="696"/>
      <c r="B57" s="698"/>
      <c r="C57" s="568"/>
      <c r="D57" s="567"/>
      <c r="E57" s="391"/>
      <c r="F57" s="357" t="str">
        <f t="shared" si="1"/>
        <v/>
      </c>
      <c r="G57" s="456"/>
      <c r="H57" s="190" t="str">
        <f>IF(AND(E57="",G57=""),"",SUM(F57:G65))</f>
        <v/>
      </c>
      <c r="I57" s="191"/>
      <c r="J57" s="224"/>
      <c r="K57" s="224"/>
      <c r="L57" s="197" t="str">
        <f>IF(J57="Duplex",VLOOKUP(M57,'Características dos Cabos M Lot'!$C$12:$I$14,7),(IF(J57="Triplex",VLOOKUP(M57,'Características dos Cabos M Lot'!$C$15:$J$20,8),(IF(J57="Quadruplex",VLOOKUP(M57,'Características dos Cabos M Lot'!$C$21:$K$27,9),(IF(J57="13",VLOOKUP(M57,'Características dos Cabos M Lot'!$C$15:$L$20,10),"")))))))</f>
        <v/>
      </c>
      <c r="M57" s="350" t="str">
        <f t="shared" si="5"/>
        <v/>
      </c>
      <c r="N57" s="375"/>
      <c r="O57" s="192" t="str">
        <f t="shared" si="25"/>
        <v/>
      </c>
      <c r="P57" s="192" t="str">
        <f>IF(O57="","",SUM($O$56:O57)+$Z$56)</f>
        <v/>
      </c>
      <c r="Q57" s="192" t="str">
        <f t="shared" si="7"/>
        <v/>
      </c>
      <c r="R57" s="193" t="str">
        <f>IF(J57="Duplex",VLOOKUP(M57,'Características dos Cabos MX CH'!$C$12:$I$14,5),(IF(J57="Triplex",VLOOKUP(M57,'Características dos Cabos MX CH'!$C$15:$J$20,5),(IF(J57="Quadruplex",VLOOKUP(M57,'Características dos Cabos MX CH'!$C$21:$K$27,5),(IF(J57="13",VLOOKUP(M57,'Características dos Cabos MX CH'!$C$15:$L$20,5),"")))))))</f>
        <v/>
      </c>
      <c r="S57" s="193" t="str">
        <f>IF(J57="Duplex",VLOOKUP(M57,'Características dos Cabos MX CH'!$C$12:$I$14,6),(IF(J57="Triplex",VLOOKUP(M57,'Características dos Cabos MX CH'!$C$15:$J$20,6),(IF(J57="Quadruplex",VLOOKUP(M57,'Características dos Cabos MX CH'!$C$21:$K$27,6),(IF(J57="13",VLOOKUP(M57,'Características dos Cabos MX CH'!$C$15:$L$20,6),"")))))))</f>
        <v/>
      </c>
      <c r="T57" s="194" t="str">
        <f t="shared" si="29"/>
        <v/>
      </c>
      <c r="U57" s="447" t="str">
        <f>IF(J57="Duplex",VLOOKUP(M57,'Características dos Cabos MX CH'!$C$12:$I$14,2),(IF(J57="Triplex",VLOOKUP(M57,'Características dos Cabos MX CH'!$C$15:$J$20,2),(IF(J57="Quadruplex",VLOOKUP(M57,'Características dos Cabos MX CH'!$C$21:$K$27,2),(IF(J57="13",VLOOKUP(M57,'Características dos Cabos MX CH'!$C$15:$L$20,2),"")))))))</f>
        <v/>
      </c>
      <c r="V57" s="193" t="str">
        <f>IF(J57="Duplex",VLOOKUP(M57,'Características dos Cabos MX CH'!$C$12:$I$14,3),(IF(J57="Triplex",VLOOKUP(M57,'Características dos Cabos MX CH'!$C$15:$J$20,3),(IF(J57="Quadruplex",VLOOKUP(M57,'Características dos Cabos MX CH'!$C$21:$K$27,3),(IF(J57="13",VLOOKUP(M57,'Características dos Cabos MX CH'!$C$15:$L$20,3),"")))))))</f>
        <v/>
      </c>
      <c r="W57" s="195" t="str">
        <f t="shared" si="30"/>
        <v/>
      </c>
      <c r="X57" s="195" t="str">
        <f t="shared" si="31"/>
        <v/>
      </c>
      <c r="Y57" s="196" t="str">
        <f t="shared" si="32"/>
        <v/>
      </c>
      <c r="AA57" s="396">
        <f t="shared" si="33"/>
        <v>0</v>
      </c>
      <c r="AB57" s="396">
        <f t="shared" si="4"/>
        <v>0</v>
      </c>
      <c r="AC57" s="395"/>
      <c r="AE57" s="357" t="str">
        <f t="shared" si="12"/>
        <v/>
      </c>
      <c r="AF57" s="426">
        <f t="shared" si="24"/>
        <v>0</v>
      </c>
      <c r="AG57" s="420"/>
      <c r="AH57" s="420"/>
      <c r="AO57" s="401"/>
      <c r="AP57" s="413">
        <v>80</v>
      </c>
      <c r="AQ57" s="413">
        <v>1.18</v>
      </c>
      <c r="AR57" s="403"/>
    </row>
    <row r="58" spans="1:44" ht="15" customHeight="1">
      <c r="A58" s="696"/>
      <c r="B58" s="698"/>
      <c r="C58" s="568"/>
      <c r="D58" s="567"/>
      <c r="E58" s="391"/>
      <c r="F58" s="357" t="str">
        <f t="shared" si="1"/>
        <v/>
      </c>
      <c r="G58" s="456"/>
      <c r="H58" s="190" t="str">
        <f>IF(AND(E58="",G58=""),"",SUM(F58:G65))</f>
        <v/>
      </c>
      <c r="I58" s="191"/>
      <c r="J58" s="224"/>
      <c r="K58" s="224"/>
      <c r="L58" s="197" t="str">
        <f>IF(J58="Duplex",VLOOKUP(M58,'Características dos Cabos M Lot'!$C$12:$I$14,7),(IF(J58="Triplex",VLOOKUP(M58,'Características dos Cabos M Lot'!$C$15:$J$20,8),(IF(J58="Quadruplex",VLOOKUP(M58,'Características dos Cabos M Lot'!$C$21:$K$27,9),(IF(J58="13",VLOOKUP(M58,'Características dos Cabos M Lot'!$C$15:$L$20,10),"")))))))</f>
        <v/>
      </c>
      <c r="M58" s="350" t="str">
        <f t="shared" si="5"/>
        <v/>
      </c>
      <c r="N58" s="375"/>
      <c r="O58" s="192" t="str">
        <f t="shared" si="25"/>
        <v/>
      </c>
      <c r="P58" s="192" t="str">
        <f>IF(O58="","",SUM($O$56:O58)+$Z$56)</f>
        <v/>
      </c>
      <c r="Q58" s="192" t="str">
        <f t="shared" si="7"/>
        <v/>
      </c>
      <c r="R58" s="193" t="str">
        <f>IF(J58="Duplex",VLOOKUP(M58,'Características dos Cabos MX CH'!$C$12:$I$14,5),(IF(J58="Triplex",VLOOKUP(M58,'Características dos Cabos MX CH'!$C$15:$J$20,5),(IF(J58="Quadruplex",VLOOKUP(M58,'Características dos Cabos MX CH'!$C$21:$K$27,5),(IF(J58="13",VLOOKUP(M58,'Características dos Cabos MX CH'!$C$15:$L$20,5),"")))))))</f>
        <v/>
      </c>
      <c r="S58" s="193" t="str">
        <f>IF(J58="Duplex",VLOOKUP(M58,'Características dos Cabos MX CH'!$C$12:$I$14,6),(IF(J58="Triplex",VLOOKUP(M58,'Características dos Cabos MX CH'!$C$15:$J$20,6),(IF(J58="Quadruplex",VLOOKUP(M58,'Características dos Cabos MX CH'!$C$21:$K$27,6),(IF(J58="13",VLOOKUP(M58,'Características dos Cabos MX CH'!$C$15:$L$20,6),"")))))))</f>
        <v/>
      </c>
      <c r="T58" s="194" t="str">
        <f t="shared" si="29"/>
        <v/>
      </c>
      <c r="U58" s="447" t="str">
        <f>IF(J58="Duplex",VLOOKUP(M58,'Características dos Cabos MX CH'!$C$12:$I$14,2),(IF(J58="Triplex",VLOOKUP(M58,'Características dos Cabos MX CH'!$C$15:$J$20,2),(IF(J58="Quadruplex",VLOOKUP(M58,'Características dos Cabos MX CH'!$C$21:$K$27,2),(IF(J58="13",VLOOKUP(M58,'Características dos Cabos MX CH'!$C$15:$L$20,2),"")))))))</f>
        <v/>
      </c>
      <c r="V58" s="193" t="str">
        <f>IF(J58="Duplex",VLOOKUP(M58,'Características dos Cabos MX CH'!$C$12:$I$14,3),(IF(J58="Triplex",VLOOKUP(M58,'Características dos Cabos MX CH'!$C$15:$J$20,3),(IF(J58="Quadruplex",VLOOKUP(M58,'Características dos Cabos MX CH'!$C$21:$K$27,3),(IF(J58="13",VLOOKUP(M58,'Características dos Cabos MX CH'!$C$15:$L$20,3),"")))))))</f>
        <v/>
      </c>
      <c r="W58" s="195" t="str">
        <f t="shared" si="30"/>
        <v/>
      </c>
      <c r="X58" s="195" t="str">
        <f t="shared" si="31"/>
        <v/>
      </c>
      <c r="Y58" s="196" t="str">
        <f t="shared" si="32"/>
        <v/>
      </c>
      <c r="AA58" s="396">
        <f t="shared" si="33"/>
        <v>0</v>
      </c>
      <c r="AB58" s="396">
        <f t="shared" si="4"/>
        <v>0</v>
      </c>
      <c r="AC58" s="395"/>
      <c r="AE58" s="357" t="str">
        <f t="shared" si="12"/>
        <v/>
      </c>
      <c r="AF58" s="426">
        <f t="shared" si="24"/>
        <v>0</v>
      </c>
      <c r="AG58" s="420"/>
      <c r="AH58" s="420"/>
      <c r="AO58" s="401"/>
      <c r="AP58" s="413">
        <v>90</v>
      </c>
      <c r="AQ58" s="413">
        <v>1.24</v>
      </c>
      <c r="AR58" s="403"/>
    </row>
    <row r="59" spans="1:44" ht="15" customHeight="1">
      <c r="A59" s="696"/>
      <c r="B59" s="698"/>
      <c r="C59" s="568"/>
      <c r="D59" s="567"/>
      <c r="E59" s="391"/>
      <c r="F59" s="357" t="str">
        <f t="shared" si="1"/>
        <v/>
      </c>
      <c r="G59" s="382"/>
      <c r="H59" s="190" t="str">
        <f>IF(AND(E59="",G59=""),"",SUM(F59:G65))</f>
        <v/>
      </c>
      <c r="I59" s="191"/>
      <c r="J59" s="224"/>
      <c r="K59" s="222"/>
      <c r="L59" s="197" t="str">
        <f>IF(J59="Duplex",VLOOKUP(M59,'Características dos Cabos M Lot'!$C$12:$I$14,7),(IF(J59="Triplex",VLOOKUP(M59,'Características dos Cabos M Lot'!$C$15:$J$20,8),(IF(J59="Quadruplex",VLOOKUP(M59,'Características dos Cabos M Lot'!$C$21:$K$27,9),(IF(J59="13",VLOOKUP(M59,'Características dos Cabos M Lot'!$C$15:$L$20,10),"")))))))</f>
        <v/>
      </c>
      <c r="M59" s="350" t="str">
        <f t="shared" si="5"/>
        <v/>
      </c>
      <c r="N59" s="375"/>
      <c r="O59" s="192" t="str">
        <f t="shared" si="25"/>
        <v/>
      </c>
      <c r="P59" s="192" t="str">
        <f>IF(O59="","",SUM($O$56:O59)+$Z$56)</f>
        <v/>
      </c>
      <c r="Q59" s="192" t="str">
        <f t="shared" si="7"/>
        <v/>
      </c>
      <c r="R59" s="193" t="str">
        <f>IF(J59="Duplex",VLOOKUP(M59,'Características dos Cabos MX CH'!$C$12:$I$14,5),(IF(J59="Triplex",VLOOKUP(M59,'Características dos Cabos MX CH'!$C$15:$J$20,5),(IF(J59="Quadruplex",VLOOKUP(M59,'Características dos Cabos MX CH'!$C$21:$K$27,5),(IF(J59="13",VLOOKUP(M59,'Características dos Cabos MX CH'!$C$15:$L$20,5),"")))))))</f>
        <v/>
      </c>
      <c r="S59" s="193" t="str">
        <f>IF(J59="Duplex",VLOOKUP(M59,'Características dos Cabos MX CH'!$C$12:$I$14,6),(IF(J59="Triplex",VLOOKUP(M59,'Características dos Cabos MX CH'!$C$15:$J$20,6),(IF(J59="Quadruplex",VLOOKUP(M59,'Características dos Cabos MX CH'!$C$21:$K$27,6),(IF(J59="13",VLOOKUP(M59,'Características dos Cabos MX CH'!$C$15:$L$20,6),"")))))))</f>
        <v/>
      </c>
      <c r="T59" s="194" t="str">
        <f t="shared" si="29"/>
        <v/>
      </c>
      <c r="U59" s="447" t="str">
        <f>IF(J59="Duplex",VLOOKUP(M59,'Características dos Cabos MX CH'!$C$12:$I$14,2),(IF(J59="Triplex",VLOOKUP(M59,'Características dos Cabos MX CH'!$C$15:$J$20,2),(IF(J59="Quadruplex",VLOOKUP(M59,'Características dos Cabos MX CH'!$C$21:$K$27,2),(IF(J59="13",VLOOKUP(M59,'Características dos Cabos MX CH'!$C$15:$L$20,2),"")))))))</f>
        <v/>
      </c>
      <c r="V59" s="193" t="str">
        <f>IF(J59="Duplex",VLOOKUP(M59,'Características dos Cabos MX CH'!$C$12:$I$14,3),(IF(J59="Triplex",VLOOKUP(M59,'Características dos Cabos MX CH'!$C$15:$J$20,3),(IF(J59="Quadruplex",VLOOKUP(M59,'Características dos Cabos MX CH'!$C$21:$K$27,3),(IF(J59="13",VLOOKUP(M59,'Características dos Cabos MX CH'!$C$15:$L$20,3),"")))))))</f>
        <v/>
      </c>
      <c r="W59" s="195" t="str">
        <f t="shared" si="30"/>
        <v/>
      </c>
      <c r="X59" s="195" t="str">
        <f t="shared" si="31"/>
        <v/>
      </c>
      <c r="Y59" s="196" t="str">
        <f t="shared" si="32"/>
        <v/>
      </c>
      <c r="AA59" s="396">
        <f t="shared" si="33"/>
        <v>0</v>
      </c>
      <c r="AB59" s="396">
        <f t="shared" si="4"/>
        <v>0</v>
      </c>
      <c r="AC59" s="395"/>
      <c r="AE59" s="357" t="str">
        <f t="shared" si="12"/>
        <v/>
      </c>
      <c r="AF59" s="426">
        <f t="shared" si="24"/>
        <v>0</v>
      </c>
      <c r="AG59" s="420"/>
      <c r="AH59" s="420"/>
      <c r="AO59" s="401"/>
      <c r="AP59" s="413">
        <v>100</v>
      </c>
      <c r="AQ59" s="413">
        <v>1.82</v>
      </c>
      <c r="AR59" s="403"/>
    </row>
    <row r="60" spans="1:44" ht="15" customHeight="1">
      <c r="A60" s="696"/>
      <c r="B60" s="698"/>
      <c r="C60" s="568"/>
      <c r="D60" s="567"/>
      <c r="E60" s="391"/>
      <c r="F60" s="357" t="str">
        <f t="shared" si="1"/>
        <v/>
      </c>
      <c r="G60" s="382"/>
      <c r="H60" s="190" t="str">
        <f>IF(AND(E60="",G60=""),"",SUM(F60:G65))</f>
        <v/>
      </c>
      <c r="I60" s="191"/>
      <c r="J60" s="224"/>
      <c r="K60" s="222"/>
      <c r="L60" s="197" t="str">
        <f>IF(J60="Duplex",VLOOKUP(M60,'Características dos Cabos M Lot'!$C$12:$I$14,7),(IF(J60="Triplex",VLOOKUP(M60,'Características dos Cabos M Lot'!$C$15:$J$20,8),(IF(J60="Quadruplex",VLOOKUP(M60,'Características dos Cabos M Lot'!$C$21:$K$27,9),(IF(J60="13",VLOOKUP(M60,'Características dos Cabos M Lot'!$C$15:$L$20,10),"")))))))</f>
        <v/>
      </c>
      <c r="M60" s="350" t="str">
        <f t="shared" si="5"/>
        <v/>
      </c>
      <c r="N60" s="375"/>
      <c r="O60" s="192" t="str">
        <f t="shared" si="25"/>
        <v/>
      </c>
      <c r="P60" s="192" t="str">
        <f>IF(O60="","",SUM($O$56:O60)+$Z$56)</f>
        <v/>
      </c>
      <c r="Q60" s="192" t="str">
        <f t="shared" si="7"/>
        <v/>
      </c>
      <c r="R60" s="193" t="str">
        <f>IF(J60="Duplex",VLOOKUP(M60,'Características dos Cabos MX CH'!$C$12:$I$14,5),(IF(J60="Triplex",VLOOKUP(M60,'Características dos Cabos MX CH'!$C$15:$J$20,5),(IF(J60="Quadruplex",VLOOKUP(M60,'Características dos Cabos MX CH'!$C$21:$K$27,5),(IF(J60="13",VLOOKUP(M60,'Características dos Cabos MX CH'!$C$15:$L$20,5),"")))))))</f>
        <v/>
      </c>
      <c r="S60" s="193" t="str">
        <f>IF(J60="Duplex",VLOOKUP(M60,'Características dos Cabos MX CH'!$C$12:$I$14,6),(IF(J60="Triplex",VLOOKUP(M60,'Características dos Cabos MX CH'!$C$15:$J$20,6),(IF(J60="Quadruplex",VLOOKUP(M60,'Características dos Cabos MX CH'!$C$21:$K$27,6),(IF(J60="13",VLOOKUP(M60,'Características dos Cabos MX CH'!$C$15:$L$20,6),"")))))))</f>
        <v/>
      </c>
      <c r="T60" s="194" t="str">
        <f t="shared" si="29"/>
        <v/>
      </c>
      <c r="U60" s="447" t="str">
        <f>IF(J60="Duplex",VLOOKUP(M60,'Características dos Cabos MX CH'!$C$12:$I$14,2),(IF(J60="Triplex",VLOOKUP(M60,'Características dos Cabos MX CH'!$C$15:$J$20,2),(IF(J60="Quadruplex",VLOOKUP(M60,'Características dos Cabos MX CH'!$C$21:$K$27,2),(IF(J60="13",VLOOKUP(M60,'Características dos Cabos MX CH'!$C$15:$L$20,2),"")))))))</f>
        <v/>
      </c>
      <c r="V60" s="193" t="str">
        <f>IF(J60="Duplex",VLOOKUP(M60,'Características dos Cabos MX CH'!$C$12:$I$14,3),(IF(J60="Triplex",VLOOKUP(M60,'Características dos Cabos MX CH'!$C$15:$J$20,3),(IF(J60="Quadruplex",VLOOKUP(M60,'Características dos Cabos MX CH'!$C$21:$K$27,3),(IF(J60="13",VLOOKUP(M60,'Características dos Cabos MX CH'!$C$15:$L$20,3),"")))))))</f>
        <v/>
      </c>
      <c r="W60" s="195" t="str">
        <f t="shared" si="30"/>
        <v/>
      </c>
      <c r="X60" s="195" t="str">
        <f t="shared" si="31"/>
        <v/>
      </c>
      <c r="Y60" s="196" t="str">
        <f t="shared" si="32"/>
        <v/>
      </c>
      <c r="AA60" s="396">
        <f t="shared" si="33"/>
        <v>0</v>
      </c>
      <c r="AB60" s="396">
        <f t="shared" si="4"/>
        <v>0</v>
      </c>
      <c r="AC60" s="395"/>
      <c r="AE60" s="357" t="str">
        <f t="shared" si="12"/>
        <v/>
      </c>
      <c r="AF60" s="426">
        <f t="shared" si="24"/>
        <v>0</v>
      </c>
      <c r="AG60" s="420"/>
      <c r="AH60" s="420"/>
      <c r="AO60" s="401"/>
      <c r="AP60" s="413">
        <v>110</v>
      </c>
      <c r="AQ60" s="413">
        <v>1.85</v>
      </c>
      <c r="AR60" s="403"/>
    </row>
    <row r="61" spans="1:44" ht="15" customHeight="1">
      <c r="A61" s="696"/>
      <c r="B61" s="698"/>
      <c r="C61" s="568"/>
      <c r="D61" s="567"/>
      <c r="E61" s="391"/>
      <c r="F61" s="357" t="str">
        <f t="shared" si="1"/>
        <v/>
      </c>
      <c r="G61" s="382"/>
      <c r="H61" s="190" t="str">
        <f>IF(AND(E61="",G61=""),"",SUM(F61:G65))</f>
        <v/>
      </c>
      <c r="I61" s="191"/>
      <c r="J61" s="222"/>
      <c r="K61" s="222"/>
      <c r="L61" s="197" t="str">
        <f>IF(J61="Duplex",VLOOKUP(M61,'Características dos Cabos M Lot'!$C$12:$I$14,7),(IF(J61="Triplex",VLOOKUP(M61,'Características dos Cabos M Lot'!$C$15:$J$20,8),(IF(J61="Quadruplex",VLOOKUP(M61,'Características dos Cabos M Lot'!$C$21:$K$27,9),(IF(J61="13",VLOOKUP(M61,'Características dos Cabos M Lot'!$C$15:$L$20,10),"")))))))</f>
        <v/>
      </c>
      <c r="M61" s="350" t="str">
        <f t="shared" si="5"/>
        <v/>
      </c>
      <c r="N61" s="375"/>
      <c r="O61" s="192" t="str">
        <f t="shared" si="25"/>
        <v/>
      </c>
      <c r="P61" s="192" t="str">
        <f>IF(O61="","",SUM($O$56:O61)+$Z$56)</f>
        <v/>
      </c>
      <c r="Q61" s="192" t="str">
        <f t="shared" si="7"/>
        <v/>
      </c>
      <c r="R61" s="193" t="str">
        <f>IF(J61="Duplex",VLOOKUP(M61,'Características dos Cabos MX CH'!$C$12:$I$14,5),(IF(J61="Triplex",VLOOKUP(M61,'Características dos Cabos MX CH'!$C$15:$J$20,5),(IF(J61="Quadruplex",VLOOKUP(M61,'Características dos Cabos MX CH'!$C$21:$K$27,5),(IF(J61="13",VLOOKUP(M61,'Características dos Cabos MX CH'!$C$15:$L$20,5),"")))))))</f>
        <v/>
      </c>
      <c r="S61" s="193" t="str">
        <f>IF(J61="Duplex",VLOOKUP(M61,'Características dos Cabos MX CH'!$C$12:$I$14,6),(IF(J61="Triplex",VLOOKUP(M61,'Características dos Cabos MX CH'!$C$15:$J$20,6),(IF(J61="Quadruplex",VLOOKUP(M61,'Características dos Cabos MX CH'!$C$21:$K$27,6),(IF(J61="13",VLOOKUP(M61,'Características dos Cabos MX CH'!$C$15:$L$20,6),"")))))))</f>
        <v/>
      </c>
      <c r="T61" s="194" t="str">
        <f t="shared" si="29"/>
        <v/>
      </c>
      <c r="U61" s="447" t="str">
        <f>IF(J61="Duplex",VLOOKUP(M61,'Características dos Cabos MX CH'!$C$12:$I$14,2),(IF(J61="Triplex",VLOOKUP(M61,'Características dos Cabos MX CH'!$C$15:$J$20,2),(IF(J61="Quadruplex",VLOOKUP(M61,'Características dos Cabos MX CH'!$C$21:$K$27,2),(IF(J61="13",VLOOKUP(M61,'Características dos Cabos MX CH'!$C$15:$L$20,2),"")))))))</f>
        <v/>
      </c>
      <c r="V61" s="193" t="str">
        <f>IF(J61="Duplex",VLOOKUP(M61,'Características dos Cabos MX CH'!$C$12:$I$14,3),(IF(J61="Triplex",VLOOKUP(M61,'Características dos Cabos MX CH'!$C$15:$J$20,3),(IF(J61="Quadruplex",VLOOKUP(M61,'Características dos Cabos MX CH'!$C$21:$K$27,3),(IF(J61="13",VLOOKUP(M61,'Características dos Cabos MX CH'!$C$15:$L$20,3),"")))))))</f>
        <v/>
      </c>
      <c r="W61" s="195" t="str">
        <f t="shared" si="30"/>
        <v/>
      </c>
      <c r="X61" s="195" t="str">
        <f t="shared" si="31"/>
        <v/>
      </c>
      <c r="Y61" s="196" t="str">
        <f t="shared" si="32"/>
        <v/>
      </c>
      <c r="AA61" s="396">
        <f t="shared" si="33"/>
        <v>0</v>
      </c>
      <c r="AB61" s="396">
        <f t="shared" si="4"/>
        <v>0</v>
      </c>
      <c r="AC61" s="395"/>
      <c r="AE61" s="357" t="str">
        <f t="shared" si="12"/>
        <v/>
      </c>
      <c r="AF61" s="426">
        <f t="shared" si="24"/>
        <v>0</v>
      </c>
      <c r="AG61" s="420"/>
      <c r="AH61" s="420"/>
      <c r="AO61" s="401"/>
      <c r="AP61" s="413">
        <v>120</v>
      </c>
      <c r="AQ61" s="413">
        <v>1.88</v>
      </c>
      <c r="AR61" s="403"/>
    </row>
    <row r="62" spans="1:44" ht="15" customHeight="1">
      <c r="A62" s="696"/>
      <c r="B62" s="698"/>
      <c r="C62" s="568"/>
      <c r="D62" s="368"/>
      <c r="E62" s="367"/>
      <c r="F62" s="357" t="str">
        <f t="shared" si="1"/>
        <v/>
      </c>
      <c r="G62" s="384"/>
      <c r="H62" s="190" t="str">
        <f>IF(AND(E62="",G62=""),"",SUM(F62:G65))</f>
        <v/>
      </c>
      <c r="I62" s="191"/>
      <c r="J62" s="222"/>
      <c r="K62" s="222"/>
      <c r="L62" s="197" t="str">
        <f>IF(J62="Duplex",VLOOKUP(M62,'Características dos Cabos M Lot'!$C$12:$I$14,7),(IF(J62="Triplex",VLOOKUP(M62,'Características dos Cabos M Lot'!$C$15:$J$20,8),(IF(J62="Quadruplex",VLOOKUP(M62,'Características dos Cabos M Lot'!$C$21:$K$27,9),(IF(J62="13",VLOOKUP(M62,'Características dos Cabos M Lot'!$C$15:$L$20,10),"")))))))</f>
        <v/>
      </c>
      <c r="M62" s="350" t="str">
        <f t="shared" si="5"/>
        <v/>
      </c>
      <c r="N62" s="375"/>
      <c r="O62" s="192" t="str">
        <f t="shared" si="25"/>
        <v/>
      </c>
      <c r="P62" s="192" t="str">
        <f>IF(O62="","",SUM($O$56:O62)+$Z$56)</f>
        <v/>
      </c>
      <c r="Q62" s="192" t="str">
        <f t="shared" si="7"/>
        <v/>
      </c>
      <c r="R62" s="193" t="str">
        <f>IF(J62="Duplex",VLOOKUP(M62,'Características dos Cabos MX CH'!$C$12:$I$14,5),(IF(J62="Triplex",VLOOKUP(M62,'Características dos Cabos MX CH'!$C$15:$J$20,5),(IF(J62="Quadruplex",VLOOKUP(M62,'Características dos Cabos MX CH'!$C$21:$K$27,5),(IF(J62="13",VLOOKUP(M62,'Características dos Cabos MX CH'!$C$15:$L$20,5),"")))))))</f>
        <v/>
      </c>
      <c r="S62" s="193" t="str">
        <f>IF(J62="Duplex",VLOOKUP(M62,'Características dos Cabos MX CH'!$C$12:$I$14,6),(IF(J62="Triplex",VLOOKUP(M62,'Características dos Cabos MX CH'!$C$15:$J$20,6),(IF(J62="Quadruplex",VLOOKUP(M62,'Características dos Cabos MX CH'!$C$21:$K$27,6),(IF(J62="13",VLOOKUP(M62,'Características dos Cabos MX CH'!$C$15:$L$20,6),"")))))))</f>
        <v/>
      </c>
      <c r="T62" s="194" t="str">
        <f t="shared" si="29"/>
        <v/>
      </c>
      <c r="U62" s="447" t="str">
        <f>IF(J62="Duplex",VLOOKUP(M62,'Características dos Cabos MX CH'!$C$12:$I$14,2),(IF(J62="Triplex",VLOOKUP(M62,'Características dos Cabos MX CH'!$C$15:$J$20,2),(IF(J62="Quadruplex",VLOOKUP(M62,'Características dos Cabos MX CH'!$C$21:$K$27,2),(IF(J62="13",VLOOKUP(M62,'Características dos Cabos MX CH'!$C$15:$L$20,2),"")))))))</f>
        <v/>
      </c>
      <c r="V62" s="193" t="str">
        <f>IF(J62="Duplex",VLOOKUP(M62,'Características dos Cabos MX CH'!$C$12:$I$14,3),(IF(J62="Triplex",VLOOKUP(M62,'Características dos Cabos MX CH'!$C$15:$J$20,3),(IF(J62="Quadruplex",VLOOKUP(M62,'Características dos Cabos MX CH'!$C$21:$K$27,3),(IF(J62="13",VLOOKUP(M62,'Características dos Cabos MX CH'!$C$15:$L$20,3),"")))))))</f>
        <v/>
      </c>
      <c r="W62" s="195" t="str">
        <f t="shared" si="30"/>
        <v/>
      </c>
      <c r="X62" s="195" t="str">
        <f t="shared" si="31"/>
        <v/>
      </c>
      <c r="Y62" s="196" t="str">
        <f t="shared" si="32"/>
        <v/>
      </c>
      <c r="AA62" s="396">
        <f t="shared" si="33"/>
        <v>0</v>
      </c>
      <c r="AB62" s="396">
        <f t="shared" si="4"/>
        <v>0</v>
      </c>
      <c r="AC62" s="395"/>
      <c r="AE62" s="357" t="str">
        <f t="shared" si="12"/>
        <v/>
      </c>
      <c r="AF62" s="426">
        <f t="shared" si="24"/>
        <v>0</v>
      </c>
      <c r="AG62" s="420"/>
      <c r="AH62" s="420"/>
      <c r="AO62" s="401"/>
      <c r="AP62" s="413">
        <v>130</v>
      </c>
      <c r="AQ62" s="413">
        <v>1.90</v>
      </c>
      <c r="AR62" s="403"/>
    </row>
    <row r="63" spans="1:44" ht="15" customHeight="1">
      <c r="A63" s="696"/>
      <c r="B63" s="698"/>
      <c r="C63" s="568"/>
      <c r="D63" s="368"/>
      <c r="E63" s="367"/>
      <c r="F63" s="357" t="str">
        <f t="shared" si="1"/>
        <v/>
      </c>
      <c r="G63" s="384"/>
      <c r="H63" s="190" t="str">
        <f>IF(AND(E63="",G63=""),"",SUM(F63:G65))</f>
        <v/>
      </c>
      <c r="I63" s="191"/>
      <c r="J63" s="222"/>
      <c r="K63" s="222"/>
      <c r="L63" s="197" t="str">
        <f>IF(J63="Duplex",VLOOKUP(M63,'Características dos Cabos M Lot'!$C$12:$I$14,7),(IF(J63="Triplex",VLOOKUP(M63,'Características dos Cabos M Lot'!$C$15:$J$20,8),(IF(J63="Quadruplex",VLOOKUP(M63,'Características dos Cabos M Lot'!$C$21:$K$27,9),(IF(J63="13",VLOOKUP(M63,'Características dos Cabos M Lot'!$C$15:$L$20,10),"")))))))</f>
        <v/>
      </c>
      <c r="M63" s="350" t="str">
        <f t="shared" si="5"/>
        <v/>
      </c>
      <c r="N63" s="375"/>
      <c r="O63" s="192" t="str">
        <f t="shared" si="25"/>
        <v/>
      </c>
      <c r="P63" s="192" t="str">
        <f>IF(O63="","",SUM($O$56:O63)+$Z$56)</f>
        <v/>
      </c>
      <c r="Q63" s="192" t="str">
        <f t="shared" si="7"/>
        <v/>
      </c>
      <c r="R63" s="193" t="str">
        <f>IF(J63="Duplex",VLOOKUP(M63,'Características dos Cabos MX CH'!$C$12:$I$14,5),(IF(J63="Triplex",VLOOKUP(M63,'Características dos Cabos MX CH'!$C$15:$J$20,5),(IF(J63="Quadruplex",VLOOKUP(M63,'Características dos Cabos MX CH'!$C$21:$K$27,5),(IF(J63="13",VLOOKUP(M63,'Características dos Cabos MX CH'!$C$15:$L$20,5),"")))))))</f>
        <v/>
      </c>
      <c r="S63" s="193" t="str">
        <f>IF(J63="Duplex",VLOOKUP(M63,'Características dos Cabos MX CH'!$C$12:$I$14,6),(IF(J63="Triplex",VLOOKUP(M63,'Características dos Cabos MX CH'!$C$15:$J$20,6),(IF(J63="Quadruplex",VLOOKUP(M63,'Características dos Cabos MX CH'!$C$21:$K$27,6),(IF(J63="13",VLOOKUP(M63,'Características dos Cabos MX CH'!$C$15:$L$20,6),"")))))))</f>
        <v/>
      </c>
      <c r="T63" s="194" t="str">
        <f t="shared" si="29"/>
        <v/>
      </c>
      <c r="U63" s="447" t="str">
        <f>IF(J63="Duplex",VLOOKUP(M63,'Características dos Cabos MX CH'!$C$12:$I$14,2),(IF(J63="Triplex",VLOOKUP(M63,'Características dos Cabos MX CH'!$C$15:$J$20,2),(IF(J63="Quadruplex",VLOOKUP(M63,'Características dos Cabos MX CH'!$C$21:$K$27,2),(IF(J63="13",VLOOKUP(M63,'Características dos Cabos MX CH'!$C$15:$L$20,2),"")))))))</f>
        <v/>
      </c>
      <c r="V63" s="193" t="str">
        <f>IF(J63="Duplex",VLOOKUP(M63,'Características dos Cabos MX CH'!$C$12:$I$14,3),(IF(J63="Triplex",VLOOKUP(M63,'Características dos Cabos MX CH'!$C$15:$J$20,3),(IF(J63="Quadruplex",VLOOKUP(M63,'Características dos Cabos MX CH'!$C$21:$K$27,3),(IF(J63="13",VLOOKUP(M63,'Características dos Cabos MX CH'!$C$15:$L$20,3),"")))))))</f>
        <v/>
      </c>
      <c r="W63" s="195" t="str">
        <f t="shared" si="30"/>
        <v/>
      </c>
      <c r="X63" s="195" t="str">
        <f t="shared" si="31"/>
        <v/>
      </c>
      <c r="Y63" s="196" t="str">
        <f t="shared" si="32"/>
        <v/>
      </c>
      <c r="AA63" s="396">
        <f t="shared" si="33"/>
        <v>0</v>
      </c>
      <c r="AB63" s="396">
        <f t="shared" si="4"/>
        <v>0</v>
      </c>
      <c r="AC63" s="395"/>
      <c r="AE63" s="357" t="str">
        <f t="shared" si="12"/>
        <v/>
      </c>
      <c r="AF63" s="426">
        <f t="shared" si="24"/>
        <v>0</v>
      </c>
      <c r="AG63" s="420"/>
      <c r="AH63" s="420"/>
      <c r="AO63" s="401"/>
      <c r="AP63" s="413">
        <v>140</v>
      </c>
      <c r="AQ63" s="413">
        <v>1.93</v>
      </c>
      <c r="AR63" s="403"/>
    </row>
    <row r="64" spans="1:44" ht="15" customHeight="1">
      <c r="A64" s="696"/>
      <c r="B64" s="698"/>
      <c r="C64" s="568"/>
      <c r="D64" s="368"/>
      <c r="E64" s="372"/>
      <c r="F64" s="357" t="str">
        <f t="shared" si="1"/>
        <v/>
      </c>
      <c r="G64" s="384"/>
      <c r="H64" s="190" t="str">
        <f>IF(AND(E64="",G64=""),"",SUM(F64:G65))</f>
        <v/>
      </c>
      <c r="I64" s="191"/>
      <c r="J64" s="222"/>
      <c r="K64" s="222"/>
      <c r="L64" s="197" t="str">
        <f>IF(J64="Duplex",VLOOKUP(M64,'Características dos Cabos M Lot'!$C$12:$I$14,7),(IF(J64="Triplex",VLOOKUP(M64,'Características dos Cabos M Lot'!$C$15:$J$20,8),(IF(J64="Quadruplex",VLOOKUP(M64,'Características dos Cabos M Lot'!$C$21:$K$27,9),(IF(J64="13",VLOOKUP(M64,'Características dos Cabos M Lot'!$C$15:$L$20,10),"")))))))</f>
        <v/>
      </c>
      <c r="M64" s="350" t="str">
        <f t="shared" si="5"/>
        <v/>
      </c>
      <c r="N64" s="377"/>
      <c r="O64" s="192" t="str">
        <f t="shared" si="25"/>
        <v/>
      </c>
      <c r="P64" s="192" t="str">
        <f>IF(O64="","",SUM($O$56:O64)+$Z$56)</f>
        <v/>
      </c>
      <c r="Q64" s="192" t="str">
        <f t="shared" si="7"/>
        <v/>
      </c>
      <c r="R64" s="193" t="str">
        <f>IF(J64="Duplex",VLOOKUP(M64,'Características dos Cabos MX CH'!$C$12:$I$14,5),(IF(J64="Triplex",VLOOKUP(M64,'Características dos Cabos MX CH'!$C$15:$J$20,5),(IF(J64="Quadruplex",VLOOKUP(M64,'Características dos Cabos MX CH'!$C$21:$K$27,5),(IF(J64="13",VLOOKUP(M64,'Características dos Cabos MX CH'!$C$15:$L$20,5),"")))))))</f>
        <v/>
      </c>
      <c r="S64" s="193" t="str">
        <f>IF(J64="Duplex",VLOOKUP(M64,'Características dos Cabos MX CH'!$C$12:$I$14,6),(IF(J64="Triplex",VLOOKUP(M64,'Características dos Cabos MX CH'!$C$15:$J$20,6),(IF(J64="Quadruplex",VLOOKUP(M64,'Características dos Cabos MX CH'!$C$21:$K$27,6),(IF(J64="13",VLOOKUP(M64,'Características dos Cabos MX CH'!$C$15:$L$20,6),"")))))))</f>
        <v/>
      </c>
      <c r="T64" s="194" t="str">
        <f t="shared" si="29"/>
        <v/>
      </c>
      <c r="U64" s="447" t="str">
        <f>IF(J64="Duplex",VLOOKUP(M64,'Características dos Cabos MX CH'!$C$12:$I$14,2),(IF(J64="Triplex",VLOOKUP(M64,'Características dos Cabos MX CH'!$C$15:$J$20,2),(IF(J64="Quadruplex",VLOOKUP(M64,'Características dos Cabos MX CH'!$C$21:$K$27,2),(IF(J64="13",VLOOKUP(M64,'Características dos Cabos MX CH'!$C$15:$L$20,2),"")))))))</f>
        <v/>
      </c>
      <c r="V64" s="193" t="str">
        <f>IF(J64="Duplex",VLOOKUP(M64,'Características dos Cabos MX CH'!$C$12:$I$14,3),(IF(J64="Triplex",VLOOKUP(M64,'Características dos Cabos MX CH'!$C$15:$J$20,3),(IF(J64="Quadruplex",VLOOKUP(M64,'Características dos Cabos MX CH'!$C$21:$K$27,3),(IF(J64="13",VLOOKUP(M64,'Características dos Cabos MX CH'!$C$15:$L$20,3),"")))))))</f>
        <v/>
      </c>
      <c r="W64" s="195" t="str">
        <f t="shared" si="30"/>
        <v/>
      </c>
      <c r="X64" s="195" t="str">
        <f t="shared" si="31"/>
        <v/>
      </c>
      <c r="Y64" s="196" t="str">
        <f t="shared" si="32"/>
        <v/>
      </c>
      <c r="AA64" s="396">
        <f t="shared" si="33"/>
        <v>0</v>
      </c>
      <c r="AB64" s="396">
        <f t="shared" si="4"/>
        <v>0</v>
      </c>
      <c r="AC64" s="395"/>
      <c r="AE64" s="357" t="str">
        <f t="shared" si="12"/>
        <v/>
      </c>
      <c r="AF64" s="426">
        <f t="shared" si="24"/>
        <v>0</v>
      </c>
      <c r="AG64" s="420"/>
      <c r="AH64" s="420"/>
      <c r="AO64" s="401"/>
      <c r="AP64" s="413">
        <v>150</v>
      </c>
      <c r="AQ64" s="413">
        <v>1.96</v>
      </c>
      <c r="AR64" s="403"/>
    </row>
    <row r="65" spans="1:44" ht="15" customHeight="1" thickBot="1">
      <c r="A65" s="696"/>
      <c r="B65" s="699"/>
      <c r="C65" s="570"/>
      <c r="D65" s="370"/>
      <c r="E65" s="369"/>
      <c r="F65" s="461" t="str">
        <f t="shared" si="1"/>
        <v/>
      </c>
      <c r="G65" s="385"/>
      <c r="H65" s="200" t="str">
        <f>IF(AND(E65="",G65=""),"",SUM(F65:G65))</f>
        <v/>
      </c>
      <c r="I65" s="201"/>
      <c r="J65" s="223"/>
      <c r="K65" s="223"/>
      <c r="L65" s="202" t="str">
        <f>IF(J65="Duplex",VLOOKUP(M65,'Características dos Cabos M Lot'!$C$12:$I$14,7),(IF(J65="Triplex",VLOOKUP(M65,'Características dos Cabos M Lot'!$C$15:$J$20,8),(IF(J65="Quadruplex",VLOOKUP(M65,'Características dos Cabos M Lot'!$C$21:$K$27,9),(IF(J65="13",VLOOKUP(M65,'Características dos Cabos M Lot'!$C$15:$L$20,10),"")))))))</f>
        <v/>
      </c>
      <c r="M65" s="353" t="str">
        <f t="shared" si="5"/>
        <v/>
      </c>
      <c r="N65" s="378"/>
      <c r="O65" s="203" t="str">
        <f t="shared" si="25"/>
        <v/>
      </c>
      <c r="P65" s="192" t="str">
        <f>IF(O65="","",SUM($O$56:O65)+$Z$56)</f>
        <v/>
      </c>
      <c r="Q65" s="203" t="str">
        <f t="shared" si="7"/>
        <v/>
      </c>
      <c r="R65" s="204" t="str">
        <f>IF(J65="Duplex",VLOOKUP(M65,'Características dos Cabos MX CH'!$C$12:$I$14,5),(IF(J65="Triplex",VLOOKUP(M65,'Características dos Cabos MX CH'!$C$15:$J$20,5),(IF(J65="Quadruplex",VLOOKUP(M65,'Características dos Cabos MX CH'!$C$21:$K$27,5),(IF(J65="13",VLOOKUP(M65,'Características dos Cabos MX CH'!$C$15:$L$20,5),"")))))))</f>
        <v/>
      </c>
      <c r="S65" s="204" t="str">
        <f>IF(J65="Duplex",VLOOKUP(M65,'Características dos Cabos MX CH'!$C$12:$I$14,6),(IF(J65="Triplex",VLOOKUP(M65,'Características dos Cabos MX CH'!$C$15:$J$20,6),(IF(J65="Quadruplex",VLOOKUP(M65,'Características dos Cabos MX CH'!$C$21:$K$27,6),(IF(J65="13",VLOOKUP(M65,'Características dos Cabos MX CH'!$C$15:$L$20,6),"")))))))</f>
        <v/>
      </c>
      <c r="T65" s="205" t="str">
        <f t="shared" si="29"/>
        <v/>
      </c>
      <c r="U65" s="448" t="str">
        <f>IF(J65="Duplex",VLOOKUP(M65,'Características dos Cabos MX CH'!$C$12:$I$14,2),(IF(J65="Triplex",VLOOKUP(M65,'Características dos Cabos MX CH'!$C$15:$J$20,2),(IF(J65="Quadruplex",VLOOKUP(M65,'Características dos Cabos MX CH'!$C$21:$K$27,2),(IF(J65="13",VLOOKUP(M65,'Características dos Cabos MX CH'!$C$15:$L$20,2),"")))))))</f>
        <v/>
      </c>
      <c r="V65" s="204" t="str">
        <f>IF(J65="Duplex",VLOOKUP(M65,'Características dos Cabos MX CH'!$C$12:$I$14,3),(IF(J65="Triplex",VLOOKUP(M65,'Características dos Cabos MX CH'!$C$15:$J$20,3),(IF(J65="Quadruplex",VLOOKUP(M65,'Características dos Cabos MX CH'!$C$21:$K$27,3),(IF(J65="13",VLOOKUP(M65,'Características dos Cabos MX CH'!$C$15:$L$20,3),"")))))))</f>
        <v/>
      </c>
      <c r="W65" s="206" t="str">
        <f t="shared" si="30"/>
        <v/>
      </c>
      <c r="X65" s="206" t="str">
        <f t="shared" si="31"/>
        <v/>
      </c>
      <c r="Y65" s="207" t="str">
        <f t="shared" si="32"/>
        <v/>
      </c>
      <c r="AA65" s="396">
        <f t="shared" si="33"/>
        <v>0</v>
      </c>
      <c r="AB65" s="396">
        <f t="shared" si="4"/>
        <v>0</v>
      </c>
      <c r="AC65" s="395"/>
      <c r="AE65" s="357" t="str">
        <f t="shared" si="12"/>
        <v/>
      </c>
      <c r="AF65" s="426">
        <f t="shared" si="24"/>
        <v>0</v>
      </c>
      <c r="AG65" s="420"/>
      <c r="AH65" s="420"/>
      <c r="AO65" s="401"/>
      <c r="AP65" s="413">
        <v>160</v>
      </c>
      <c r="AQ65" s="413">
        <v>2.02</v>
      </c>
      <c r="AR65" s="403"/>
    </row>
    <row r="66" spans="1:44" ht="15" customHeight="1" thickTop="1">
      <c r="A66" s="696"/>
      <c r="B66" s="700" t="str">
        <f>CONCATENATE("Ramal 3 - Derivando no ponto ",C66)</f>
        <v xml:space="preserve">Ramal 3 - Derivando no ponto </v>
      </c>
      <c r="C66" s="571"/>
      <c r="D66" s="371"/>
      <c r="E66" s="374"/>
      <c r="F66" s="459" t="str">
        <f t="shared" si="1"/>
        <v/>
      </c>
      <c r="G66" s="386"/>
      <c r="H66" s="209" t="str">
        <f>IF(AND(E66="",G66=""),"",SUM(F66:G75))</f>
        <v/>
      </c>
      <c r="I66" s="210"/>
      <c r="J66" s="224"/>
      <c r="K66" s="224"/>
      <c r="L66" s="211" t="str">
        <f>IF(J66="Duplex",VLOOKUP(M66,'Características dos Cabos M Lot'!$C$12:$I$14,7),(IF(J66="Triplex",VLOOKUP(M66,'Características dos Cabos M Lot'!$C$15:$J$20,8),(IF(J66="Quadruplex",VLOOKUP(M66,'Características dos Cabos M Lot'!$C$21:$K$27,9),(IF(J66="13",VLOOKUP(M66,'Características dos Cabos M Lot'!$C$15:$L$20,10),"")))))))</f>
        <v/>
      </c>
      <c r="M66" s="354" t="str">
        <f t="shared" si="5"/>
        <v/>
      </c>
      <c r="N66" s="379"/>
      <c r="O66" s="212" t="str">
        <f t="shared" si="25"/>
        <v/>
      </c>
      <c r="P66" s="217" t="str">
        <f>IF(O66="","",O66+VLOOKUP(C66,$D$20:$Q$65,13,FALSE))</f>
        <v/>
      </c>
      <c r="Q66" s="212" t="str">
        <f t="shared" si="7"/>
        <v/>
      </c>
      <c r="R66" s="213" t="str">
        <f>IF(J66="Duplex",VLOOKUP(M66,'Características dos Cabos MX CH'!$C$12:$I$14,5),(IF(J66="Triplex",VLOOKUP(M66,'Características dos Cabos MX CH'!$C$15:$J$20,5),(IF(J66="Quadruplex",VLOOKUP(M66,'Características dos Cabos MX CH'!$C$21:$K$27,5),(IF(J66="13",VLOOKUP(M66,'Características dos Cabos MX CH'!$C$15:$L$20,5),"")))))))</f>
        <v/>
      </c>
      <c r="S66" s="213" t="str">
        <f>IF(J66="Duplex",VLOOKUP(M66,'Características dos Cabos MX CH'!$C$12:$I$14,6),(IF(J66="Triplex",VLOOKUP(M66,'Características dos Cabos MX CH'!$C$15:$J$20,6),(IF(J66="Quadruplex",VLOOKUP(M66,'Características dos Cabos MX CH'!$C$21:$K$27,6),(IF(J66="13",VLOOKUP(M66,'Características dos Cabos MX CH'!$C$15:$L$20,6),"")))))))</f>
        <v/>
      </c>
      <c r="T66" s="214" t="str">
        <f t="shared" si="29"/>
        <v/>
      </c>
      <c r="U66" s="450" t="str">
        <f>IF(J66="Duplex",VLOOKUP(M66,'Características dos Cabos MX CH'!$C$12:$I$14,2),(IF(J66="Triplex",VLOOKUP(M66,'Características dos Cabos MX CH'!$C$15:$J$20,2),(IF(J66="Quadruplex",VLOOKUP(M66,'Características dos Cabos MX CH'!$C$21:$K$27,2),(IF(J66="13",VLOOKUP(M66,'Características dos Cabos MX CH'!$C$15:$L$20,2),"")))))))</f>
        <v/>
      </c>
      <c r="V66" s="213" t="str">
        <f>IF(J66="Duplex",VLOOKUP(M66,'Características dos Cabos MX CH'!$C$12:$I$14,3),(IF(J66="Triplex",VLOOKUP(M66,'Características dos Cabos MX CH'!$C$15:$J$20,3),(IF(J66="Quadruplex",VLOOKUP(M66,'Características dos Cabos MX CH'!$C$21:$K$27,3),(IF(J66="13",VLOOKUP(M66,'Características dos Cabos MX CH'!$C$15:$L$20,3),"")))))))</f>
        <v/>
      </c>
      <c r="W66" s="215" t="str">
        <f t="shared" si="30"/>
        <v/>
      </c>
      <c r="X66" s="215" t="str">
        <f t="shared" si="31"/>
        <v/>
      </c>
      <c r="Y66" s="216" t="str">
        <f t="shared" si="32"/>
        <v/>
      </c>
      <c r="Z66" s="393" t="str">
        <f>IF(O66="","",VLOOKUP(C66,$D$20:$P$65,13,FALSE))</f>
        <v/>
      </c>
      <c r="AA66" s="396">
        <f t="shared" si="33"/>
        <v>0</v>
      </c>
      <c r="AB66" s="396">
        <f t="shared" si="4"/>
        <v>0</v>
      </c>
      <c r="AC66" s="395"/>
      <c r="AE66" s="357" t="str">
        <f t="shared" si="12"/>
        <v/>
      </c>
      <c r="AF66" s="426">
        <f t="shared" si="24"/>
        <v>0</v>
      </c>
      <c r="AG66" s="420"/>
      <c r="AH66" s="420"/>
      <c r="AO66" s="401"/>
      <c r="AP66" s="413">
        <v>170</v>
      </c>
      <c r="AQ66" s="413">
        <v>2.0699999999999998</v>
      </c>
      <c r="AR66" s="403"/>
    </row>
    <row r="67" spans="1:44" ht="15" customHeight="1">
      <c r="A67" s="696"/>
      <c r="B67" s="698"/>
      <c r="C67" s="568"/>
      <c r="D67" s="368"/>
      <c r="E67" s="372"/>
      <c r="F67" s="357" t="str">
        <f t="shared" si="1"/>
        <v/>
      </c>
      <c r="G67" s="384"/>
      <c r="H67" s="190" t="str">
        <f>IF(AND(E67="",G67=""),"",SUM(F67:G75))</f>
        <v/>
      </c>
      <c r="I67" s="191"/>
      <c r="J67" s="224"/>
      <c r="K67" s="224"/>
      <c r="L67" s="197" t="str">
        <f>IF(J67="Duplex",VLOOKUP(M67,'Características dos Cabos M Lot'!$C$12:$I$14,7),(IF(J67="Triplex",VLOOKUP(M67,'Características dos Cabos M Lot'!$C$15:$J$20,8),(IF(J67="Quadruplex",VLOOKUP(M67,'Características dos Cabos M Lot'!$C$21:$K$27,9),(IF(J67="13",VLOOKUP(M67,'Características dos Cabos M Lot'!$C$15:$L$20,10),"")))))))</f>
        <v/>
      </c>
      <c r="M67" s="350" t="str">
        <f t="shared" si="5"/>
        <v/>
      </c>
      <c r="N67" s="379"/>
      <c r="O67" s="192" t="str">
        <f t="shared" si="25"/>
        <v/>
      </c>
      <c r="P67" s="192" t="str">
        <f>IF(O67="","",SUM($O$66:O67)+$Z$66)</f>
        <v/>
      </c>
      <c r="Q67" s="192" t="str">
        <f t="shared" si="7"/>
        <v/>
      </c>
      <c r="R67" s="193" t="str">
        <f>IF(J67="Duplex",VLOOKUP(M67,'Características dos Cabos MX CH'!$C$12:$I$14,5),(IF(J67="Triplex",VLOOKUP(M67,'Características dos Cabos MX CH'!$C$15:$J$20,5),(IF(J67="Quadruplex",VLOOKUP(M67,'Características dos Cabos MX CH'!$C$21:$K$27,5),(IF(J67="13",VLOOKUP(M67,'Características dos Cabos MX CH'!$C$15:$L$20,5),"")))))))</f>
        <v/>
      </c>
      <c r="S67" s="193" t="str">
        <f>IF(J67="Duplex",VLOOKUP(M67,'Características dos Cabos MX CH'!$C$12:$I$14,6),(IF(J67="Triplex",VLOOKUP(M67,'Características dos Cabos MX CH'!$C$15:$J$20,6),(IF(J67="Quadruplex",VLOOKUP(M67,'Características dos Cabos MX CH'!$C$21:$K$27,6),(IF(J67="13",VLOOKUP(M67,'Características dos Cabos MX CH'!$C$15:$L$20,6),"")))))))</f>
        <v/>
      </c>
      <c r="T67" s="194" t="str">
        <f t="shared" si="29"/>
        <v/>
      </c>
      <c r="U67" s="447" t="str">
        <f>IF(J67="Duplex",VLOOKUP(M67,'Características dos Cabos MX CH'!$C$12:$I$14,2),(IF(J67="Triplex",VLOOKUP(M67,'Características dos Cabos MX CH'!$C$15:$J$20,2),(IF(J67="Quadruplex",VLOOKUP(M67,'Características dos Cabos MX CH'!$C$21:$K$27,2),(IF(J67="13",VLOOKUP(M67,'Características dos Cabos MX CH'!$C$15:$L$20,2),"")))))))</f>
        <v/>
      </c>
      <c r="V67" s="193" t="str">
        <f>IF(J67="Duplex",VLOOKUP(M67,'Características dos Cabos MX CH'!$C$12:$I$14,3),(IF(J67="Triplex",VLOOKUP(M67,'Características dos Cabos MX CH'!$C$15:$J$20,3),(IF(J67="Quadruplex",VLOOKUP(M67,'Características dos Cabos MX CH'!$C$21:$K$27,3),(IF(J67="13",VLOOKUP(M67,'Características dos Cabos MX CH'!$C$15:$L$20,3),"")))))))</f>
        <v/>
      </c>
      <c r="W67" s="195" t="str">
        <f t="shared" si="30"/>
        <v/>
      </c>
      <c r="X67" s="195" t="str">
        <f t="shared" si="31"/>
        <v/>
      </c>
      <c r="Y67" s="196" t="str">
        <f t="shared" si="32"/>
        <v/>
      </c>
      <c r="AA67" s="396">
        <f t="shared" si="33"/>
        <v>0</v>
      </c>
      <c r="AB67" s="396">
        <f t="shared" si="4"/>
        <v>0</v>
      </c>
      <c r="AC67" s="395"/>
      <c r="AE67" s="357" t="str">
        <f t="shared" si="12"/>
        <v/>
      </c>
      <c r="AF67" s="426">
        <f t="shared" si="24"/>
        <v>0</v>
      </c>
      <c r="AG67" s="420"/>
      <c r="AH67" s="420"/>
      <c r="AO67" s="401"/>
      <c r="AP67" s="413">
        <v>180</v>
      </c>
      <c r="AQ67" s="413">
        <v>2.13</v>
      </c>
      <c r="AR67" s="403"/>
    </row>
    <row r="68" spans="1:44" ht="15" customHeight="1">
      <c r="A68" s="696"/>
      <c r="B68" s="698"/>
      <c r="C68" s="568"/>
      <c r="D68" s="368"/>
      <c r="E68" s="372"/>
      <c r="F68" s="357" t="str">
        <f t="shared" si="1"/>
        <v/>
      </c>
      <c r="G68" s="384"/>
      <c r="H68" s="190" t="str">
        <f>IF(AND(E68="",G68=""),"",SUM(F68:G75))</f>
        <v/>
      </c>
      <c r="I68" s="191"/>
      <c r="J68" s="224"/>
      <c r="K68" s="224"/>
      <c r="L68" s="197" t="str">
        <f>IF(J68="Duplex",VLOOKUP(M68,'Características dos Cabos M Lot'!$C$12:$I$14,7),(IF(J68="Triplex",VLOOKUP(M68,'Características dos Cabos M Lot'!$C$15:$J$20,8),(IF(J68="Quadruplex",VLOOKUP(M68,'Características dos Cabos M Lot'!$C$21:$K$27,9),(IF(J68="13",VLOOKUP(M68,'Características dos Cabos M Lot'!$C$15:$L$20,10),"")))))))</f>
        <v/>
      </c>
      <c r="M68" s="350" t="str">
        <f t="shared" si="5"/>
        <v/>
      </c>
      <c r="N68" s="379"/>
      <c r="O68" s="192" t="str">
        <f t="shared" si="25"/>
        <v/>
      </c>
      <c r="P68" s="192" t="str">
        <f>IF(O68="","",SUM($O$66:O68)+$Z$66)</f>
        <v/>
      </c>
      <c r="Q68" s="192" t="str">
        <f t="shared" si="7"/>
        <v/>
      </c>
      <c r="R68" s="193" t="str">
        <f>IF(J68="Duplex",VLOOKUP(M68,'Características dos Cabos MX CH'!$C$12:$I$14,5),(IF(J68="Triplex",VLOOKUP(M68,'Características dos Cabos MX CH'!$C$15:$J$20,5),(IF(J68="Quadruplex",VLOOKUP(M68,'Características dos Cabos MX CH'!$C$21:$K$27,5),(IF(J68="13",VLOOKUP(M68,'Características dos Cabos MX CH'!$C$15:$L$20,5),"")))))))</f>
        <v/>
      </c>
      <c r="S68" s="193" t="str">
        <f>IF(J68="Duplex",VLOOKUP(M68,'Características dos Cabos MX CH'!$C$12:$I$14,6),(IF(J68="Triplex",VLOOKUP(M68,'Características dos Cabos MX CH'!$C$15:$J$20,6),(IF(J68="Quadruplex",VLOOKUP(M68,'Características dos Cabos MX CH'!$C$21:$K$27,6),(IF(J68="13",VLOOKUP(M68,'Características dos Cabos MX CH'!$C$15:$L$20,6),"")))))))</f>
        <v/>
      </c>
      <c r="T68" s="194" t="str">
        <f t="shared" si="29"/>
        <v/>
      </c>
      <c r="U68" s="447" t="str">
        <f>IF(J68="Duplex",VLOOKUP(M68,'Características dos Cabos MX CH'!$C$12:$I$14,2),(IF(J68="Triplex",VLOOKUP(M68,'Características dos Cabos MX CH'!$C$15:$J$20,2),(IF(J68="Quadruplex",VLOOKUP(M68,'Características dos Cabos MX CH'!$C$21:$K$27,2),(IF(J68="13",VLOOKUP(M68,'Características dos Cabos MX CH'!$C$15:$L$20,2),"")))))))</f>
        <v/>
      </c>
      <c r="V68" s="193" t="str">
        <f>IF(J68="Duplex",VLOOKUP(M68,'Características dos Cabos MX CH'!$C$12:$I$14,3),(IF(J68="Triplex",VLOOKUP(M68,'Características dos Cabos MX CH'!$C$15:$J$20,3),(IF(J68="Quadruplex",VLOOKUP(M68,'Características dos Cabos MX CH'!$C$21:$K$27,3),(IF(J68="13",VLOOKUP(M68,'Características dos Cabos MX CH'!$C$15:$L$20,3),"")))))))</f>
        <v/>
      </c>
      <c r="W68" s="195" t="str">
        <f t="shared" si="30"/>
        <v/>
      </c>
      <c r="X68" s="195" t="str">
        <f t="shared" si="31"/>
        <v/>
      </c>
      <c r="Y68" s="196" t="str">
        <f t="shared" si="32"/>
        <v/>
      </c>
      <c r="AA68" s="396">
        <f t="shared" si="33"/>
        <v>0</v>
      </c>
      <c r="AB68" s="396">
        <f t="shared" si="4"/>
        <v>0</v>
      </c>
      <c r="AC68" s="395"/>
      <c r="AE68" s="357" t="str">
        <f t="shared" si="12"/>
        <v/>
      </c>
      <c r="AF68" s="426">
        <f t="shared" si="24"/>
        <v>0</v>
      </c>
      <c r="AG68" s="420"/>
      <c r="AH68" s="420"/>
      <c r="AO68" s="401"/>
      <c r="AP68" s="413">
        <v>190</v>
      </c>
      <c r="AQ68" s="413">
        <v>2.1800000000000002</v>
      </c>
      <c r="AR68" s="403"/>
    </row>
    <row r="69" spans="1:44" ht="15" customHeight="1">
      <c r="A69" s="696"/>
      <c r="B69" s="698"/>
      <c r="C69" s="568"/>
      <c r="D69" s="368"/>
      <c r="E69" s="372"/>
      <c r="F69" s="357" t="str">
        <f t="shared" si="1"/>
        <v/>
      </c>
      <c r="G69" s="384"/>
      <c r="H69" s="190" t="str">
        <f>IF(AND(E69="",G69=""),"",SUM(F69:G75))</f>
        <v/>
      </c>
      <c r="I69" s="191"/>
      <c r="J69" s="224"/>
      <c r="K69" s="224"/>
      <c r="L69" s="197" t="str">
        <f>IF(J69="Duplex",VLOOKUP(M69,'Características dos Cabos M Lot'!$C$12:$I$14,7),(IF(J69="Triplex",VLOOKUP(M69,'Características dos Cabos M Lot'!$C$15:$J$20,8),(IF(J69="Quadruplex",VLOOKUP(M69,'Características dos Cabos M Lot'!$C$21:$K$27,9),(IF(J69="13",VLOOKUP(M69,'Características dos Cabos M Lot'!$C$15:$L$20,10),"")))))))</f>
        <v/>
      </c>
      <c r="M69" s="350" t="str">
        <f t="shared" si="5"/>
        <v/>
      </c>
      <c r="N69" s="377"/>
      <c r="O69" s="192" t="str">
        <f t="shared" si="25"/>
        <v/>
      </c>
      <c r="P69" s="192" t="str">
        <f>IF(O69="","",SUM($O$66:O69)+$Z$66)</f>
        <v/>
      </c>
      <c r="Q69" s="192" t="str">
        <f t="shared" si="7"/>
        <v/>
      </c>
      <c r="R69" s="193" t="str">
        <f>IF(J69="Duplex",VLOOKUP(M69,'Características dos Cabos MX CH'!$C$12:$I$14,5),(IF(J69="Triplex",VLOOKUP(M69,'Características dos Cabos MX CH'!$C$15:$J$20,5),(IF(J69="Quadruplex",VLOOKUP(M69,'Características dos Cabos MX CH'!$C$21:$K$27,5),(IF(J69="13",VLOOKUP(M69,'Características dos Cabos MX CH'!$C$15:$L$20,5),"")))))))</f>
        <v/>
      </c>
      <c r="S69" s="193" t="str">
        <f>IF(J69="Duplex",VLOOKUP(M69,'Características dos Cabos MX CH'!$C$12:$I$14,6),(IF(J69="Triplex",VLOOKUP(M69,'Características dos Cabos MX CH'!$C$15:$J$20,6),(IF(J69="Quadruplex",VLOOKUP(M69,'Características dos Cabos MX CH'!$C$21:$K$27,6),(IF(J69="13",VLOOKUP(M69,'Características dos Cabos MX CH'!$C$15:$L$20,6),"")))))))</f>
        <v/>
      </c>
      <c r="T69" s="194" t="str">
        <f t="shared" si="29"/>
        <v/>
      </c>
      <c r="U69" s="447" t="str">
        <f>IF(J69="Duplex",VLOOKUP(M69,'Características dos Cabos MX CH'!$C$12:$I$14,2),(IF(J69="Triplex",VLOOKUP(M69,'Características dos Cabos MX CH'!$C$15:$J$20,2),(IF(J69="Quadruplex",VLOOKUP(M69,'Características dos Cabos MX CH'!$C$21:$K$27,2),(IF(J69="13",VLOOKUP(M69,'Características dos Cabos MX CH'!$C$15:$L$20,2),"")))))))</f>
        <v/>
      </c>
      <c r="V69" s="193" t="str">
        <f>IF(J69="Duplex",VLOOKUP(M69,'Características dos Cabos MX CH'!$C$12:$I$14,3),(IF(J69="Triplex",VLOOKUP(M69,'Características dos Cabos MX CH'!$C$15:$J$20,3),(IF(J69="Quadruplex",VLOOKUP(M69,'Características dos Cabos MX CH'!$C$21:$K$27,3),(IF(J69="13",VLOOKUP(M69,'Características dos Cabos MX CH'!$C$15:$L$20,3),"")))))))</f>
        <v/>
      </c>
      <c r="W69" s="195" t="str">
        <f t="shared" si="30"/>
        <v/>
      </c>
      <c r="X69" s="195" t="str">
        <f t="shared" si="31"/>
        <v/>
      </c>
      <c r="Y69" s="196" t="str">
        <f t="shared" si="32"/>
        <v/>
      </c>
      <c r="AA69" s="396">
        <f t="shared" si="33"/>
        <v>0</v>
      </c>
      <c r="AB69" s="396">
        <f t="shared" si="4"/>
        <v>0</v>
      </c>
      <c r="AC69" s="395"/>
      <c r="AE69" s="357" t="str">
        <f t="shared" si="12"/>
        <v/>
      </c>
      <c r="AF69" s="426">
        <f t="shared" si="24"/>
        <v>0</v>
      </c>
      <c r="AG69" s="420"/>
      <c r="AH69" s="420"/>
      <c r="AO69" s="401"/>
      <c r="AP69" s="413">
        <v>200</v>
      </c>
      <c r="AQ69" s="413">
        <v>2.2400000000000002</v>
      </c>
      <c r="AR69" s="403"/>
    </row>
    <row r="70" spans="1:44" ht="15" customHeight="1">
      <c r="A70" s="696"/>
      <c r="B70" s="698"/>
      <c r="C70" s="568"/>
      <c r="D70" s="368"/>
      <c r="E70" s="372"/>
      <c r="F70" s="357" t="str">
        <f t="shared" si="1"/>
        <v/>
      </c>
      <c r="G70" s="384"/>
      <c r="H70" s="190" t="str">
        <f>IF(AND(E70="",G70=""),"",SUM(F70:G75))</f>
        <v/>
      </c>
      <c r="I70" s="191"/>
      <c r="J70" s="224"/>
      <c r="K70" s="224"/>
      <c r="L70" s="197" t="str">
        <f>IF(J70="Duplex",VLOOKUP(M70,'Características dos Cabos M Lot'!$C$12:$I$14,7),(IF(J70="Triplex",VLOOKUP(M70,'Características dos Cabos M Lot'!$C$15:$J$20,8),(IF(J70="Quadruplex",VLOOKUP(M70,'Características dos Cabos M Lot'!$C$21:$K$27,9),(IF(J70="13",VLOOKUP(M70,'Características dos Cabos M Lot'!$C$15:$L$20,10),"")))))))</f>
        <v/>
      </c>
      <c r="M70" s="350" t="str">
        <f t="shared" si="5"/>
        <v/>
      </c>
      <c r="N70" s="377"/>
      <c r="O70" s="192" t="str">
        <f t="shared" si="25"/>
        <v/>
      </c>
      <c r="P70" s="192" t="str">
        <f>IF(O70="","",SUM($O$66:O70)+$Z$66)</f>
        <v/>
      </c>
      <c r="Q70" s="192" t="str">
        <f t="shared" si="7"/>
        <v/>
      </c>
      <c r="R70" s="193" t="str">
        <f>IF(J70="Duplex",VLOOKUP(M70,'Características dos Cabos MX CH'!$C$12:$I$14,5),(IF(J70="Triplex",VLOOKUP(M70,'Características dos Cabos MX CH'!$C$15:$J$20,5),(IF(J70="Quadruplex",VLOOKUP(M70,'Características dos Cabos MX CH'!$C$21:$K$27,5),(IF(J70="13",VLOOKUP(M70,'Características dos Cabos MX CH'!$C$15:$L$20,5),"")))))))</f>
        <v/>
      </c>
      <c r="S70" s="193" t="str">
        <f>IF(J70="Duplex",VLOOKUP(M70,'Características dos Cabos MX CH'!$C$12:$I$14,6),(IF(J70="Triplex",VLOOKUP(M70,'Características dos Cabos MX CH'!$C$15:$J$20,6),(IF(J70="Quadruplex",VLOOKUP(M70,'Características dos Cabos MX CH'!$C$21:$K$27,6),(IF(J70="13",VLOOKUP(M70,'Características dos Cabos MX CH'!$C$15:$L$20,6),"")))))))</f>
        <v/>
      </c>
      <c r="T70" s="194" t="str">
        <f t="shared" si="29"/>
        <v/>
      </c>
      <c r="U70" s="447" t="str">
        <f>IF(J70="Duplex",VLOOKUP(M70,'Características dos Cabos MX CH'!$C$12:$I$14,2),(IF(J70="Triplex",VLOOKUP(M70,'Características dos Cabos MX CH'!$C$15:$J$20,2),(IF(J70="Quadruplex",VLOOKUP(M70,'Características dos Cabos MX CH'!$C$21:$K$27,2),(IF(J70="13",VLOOKUP(M70,'Características dos Cabos MX CH'!$C$15:$L$20,2),"")))))))</f>
        <v/>
      </c>
      <c r="V70" s="193" t="str">
        <f>IF(J70="Duplex",VLOOKUP(M70,'Características dos Cabos MX CH'!$C$12:$I$14,3),(IF(J70="Triplex",VLOOKUP(M70,'Características dos Cabos MX CH'!$C$15:$J$20,3),(IF(J70="Quadruplex",VLOOKUP(M70,'Características dos Cabos MX CH'!$C$21:$K$27,3),(IF(J70="13",VLOOKUP(M70,'Características dos Cabos MX CH'!$C$15:$L$20,3),"")))))))</f>
        <v/>
      </c>
      <c r="W70" s="195" t="str">
        <f t="shared" si="30"/>
        <v/>
      </c>
      <c r="X70" s="195" t="str">
        <f t="shared" si="31"/>
        <v/>
      </c>
      <c r="Y70" s="196" t="str">
        <f t="shared" si="32"/>
        <v/>
      </c>
      <c r="AA70" s="396">
        <f t="shared" si="33"/>
        <v>0</v>
      </c>
      <c r="AB70" s="396">
        <f t="shared" si="4"/>
        <v>0</v>
      </c>
      <c r="AC70" s="395"/>
      <c r="AE70" s="357" t="str">
        <f t="shared" si="12"/>
        <v/>
      </c>
      <c r="AF70" s="426">
        <f t="shared" si="24"/>
        <v>0</v>
      </c>
      <c r="AG70" s="420"/>
      <c r="AH70" s="420"/>
      <c r="AO70" s="401"/>
      <c r="AP70" s="413">
        <v>210</v>
      </c>
      <c r="AQ70" s="413">
        <v>2.29</v>
      </c>
      <c r="AR70" s="403"/>
    </row>
    <row r="71" spans="1:44" ht="15" customHeight="1">
      <c r="A71" s="696"/>
      <c r="B71" s="698"/>
      <c r="C71" s="568"/>
      <c r="D71" s="368"/>
      <c r="E71" s="372"/>
      <c r="F71" s="357" t="str">
        <f t="shared" si="1"/>
        <v/>
      </c>
      <c r="G71" s="384"/>
      <c r="H71" s="190" t="str">
        <f>IF(AND(E71="",G71=""),"",SUM(F71:G75))</f>
        <v/>
      </c>
      <c r="I71" s="191"/>
      <c r="J71" s="224"/>
      <c r="K71" s="224"/>
      <c r="L71" s="197" t="str">
        <f>IF(J71="Duplex",VLOOKUP(M71,'Características dos Cabos M Lot'!$C$12:$I$14,7),(IF(J71="Triplex",VLOOKUP(M71,'Características dos Cabos M Lot'!$C$15:$J$20,8),(IF(J71="Quadruplex",VLOOKUP(M71,'Características dos Cabos M Lot'!$C$21:$K$27,9),(IF(J71="13",VLOOKUP(M71,'Características dos Cabos M Lot'!$C$15:$L$20,10),"")))))))</f>
        <v/>
      </c>
      <c r="M71" s="350" t="str">
        <f t="shared" si="5"/>
        <v/>
      </c>
      <c r="N71" s="377"/>
      <c r="O71" s="192" t="str">
        <f t="shared" si="25"/>
        <v/>
      </c>
      <c r="P71" s="192" t="str">
        <f>IF(O71="","",SUM($O$66:O71)+$Z$66)</f>
        <v/>
      </c>
      <c r="Q71" s="192" t="str">
        <f t="shared" si="7"/>
        <v/>
      </c>
      <c r="R71" s="193" t="str">
        <f>IF(J71="Duplex",VLOOKUP(M71,'Características dos Cabos MX CH'!$C$12:$I$14,5),(IF(J71="Triplex",VLOOKUP(M71,'Características dos Cabos MX CH'!$C$15:$J$20,5),(IF(J71="Quadruplex",VLOOKUP(M71,'Características dos Cabos MX CH'!$C$21:$K$27,5),(IF(J71="13",VLOOKUP(M71,'Características dos Cabos MX CH'!$C$15:$L$20,5),"")))))))</f>
        <v/>
      </c>
      <c r="S71" s="193" t="str">
        <f>IF(J71="Duplex",VLOOKUP(M71,'Características dos Cabos MX CH'!$C$12:$I$14,6),(IF(J71="Triplex",VLOOKUP(M71,'Características dos Cabos MX CH'!$C$15:$J$20,6),(IF(J71="Quadruplex",VLOOKUP(M71,'Características dos Cabos MX CH'!$C$21:$K$27,6),(IF(J71="13",VLOOKUP(M71,'Características dos Cabos MX CH'!$C$15:$L$20,6),"")))))))</f>
        <v/>
      </c>
      <c r="T71" s="194" t="str">
        <f t="shared" si="29"/>
        <v/>
      </c>
      <c r="U71" s="447" t="str">
        <f>IF(J71="Duplex",VLOOKUP(M71,'Características dos Cabos MX CH'!$C$12:$I$14,2),(IF(J71="Triplex",VLOOKUP(M71,'Características dos Cabos MX CH'!$C$15:$J$20,2),(IF(J71="Quadruplex",VLOOKUP(M71,'Características dos Cabos MX CH'!$C$21:$K$27,2),(IF(J71="13",VLOOKUP(M71,'Características dos Cabos MX CH'!$C$15:$L$20,2),"")))))))</f>
        <v/>
      </c>
      <c r="V71" s="193" t="str">
        <f>IF(J71="Duplex",VLOOKUP(M71,'Características dos Cabos MX CH'!$C$12:$I$14,3),(IF(J71="Triplex",VLOOKUP(M71,'Características dos Cabos MX CH'!$C$15:$J$20,3),(IF(J71="Quadruplex",VLOOKUP(M71,'Características dos Cabos MX CH'!$C$21:$K$27,3),(IF(J71="13",VLOOKUP(M71,'Características dos Cabos MX CH'!$C$15:$L$20,3),"")))))))</f>
        <v/>
      </c>
      <c r="W71" s="195" t="str">
        <f t="shared" si="30"/>
        <v/>
      </c>
      <c r="X71" s="195" t="str">
        <f t="shared" si="31"/>
        <v/>
      </c>
      <c r="Y71" s="196" t="str">
        <f t="shared" si="32"/>
        <v/>
      </c>
      <c r="AA71" s="396">
        <f t="shared" si="33"/>
        <v>0</v>
      </c>
      <c r="AB71" s="396">
        <f t="shared" si="4"/>
        <v>0</v>
      </c>
      <c r="AC71" s="395"/>
      <c r="AE71" s="357" t="str">
        <f t="shared" si="12"/>
        <v/>
      </c>
      <c r="AF71" s="426">
        <f t="shared" si="24"/>
        <v>0</v>
      </c>
      <c r="AG71" s="420"/>
      <c r="AH71" s="420"/>
      <c r="AO71" s="401"/>
      <c r="AP71" s="413">
        <v>220</v>
      </c>
      <c r="AQ71" s="413">
        <v>2.34</v>
      </c>
      <c r="AR71" s="403"/>
    </row>
    <row r="72" spans="1:44" ht="15" customHeight="1">
      <c r="A72" s="696"/>
      <c r="B72" s="698"/>
      <c r="C72" s="568"/>
      <c r="D72" s="368"/>
      <c r="E72" s="372"/>
      <c r="F72" s="357" t="str">
        <f t="shared" si="1"/>
        <v/>
      </c>
      <c r="G72" s="384"/>
      <c r="H72" s="190" t="str">
        <f>IF(AND(E72="",G72=""),"",SUM(F72:G75))</f>
        <v/>
      </c>
      <c r="I72" s="191"/>
      <c r="J72" s="222"/>
      <c r="K72" s="222"/>
      <c r="L72" s="197" t="str">
        <f>IF(J72="Duplex",VLOOKUP(M72,'Características dos Cabos M Lot'!$C$12:$I$14,7),(IF(J72="Triplex",VLOOKUP(M72,'Características dos Cabos M Lot'!$C$15:$J$20,8),(IF(J72="Quadruplex",VLOOKUP(M72,'Características dos Cabos M Lot'!$C$21:$K$27,9),(IF(J72="13",VLOOKUP(M72,'Características dos Cabos M Lot'!$C$15:$L$20,10),"")))))))</f>
        <v/>
      </c>
      <c r="M72" s="350" t="str">
        <f t="shared" si="5"/>
        <v/>
      </c>
      <c r="N72" s="377"/>
      <c r="O72" s="192" t="str">
        <f t="shared" si="25"/>
        <v/>
      </c>
      <c r="P72" s="192" t="str">
        <f>IF(O72="","",SUM($O$66:O72)+$Z$66)</f>
        <v/>
      </c>
      <c r="Q72" s="192" t="str">
        <f t="shared" si="7"/>
        <v/>
      </c>
      <c r="R72" s="193" t="str">
        <f>IF(J72="Duplex",VLOOKUP(M72,'Características dos Cabos MX CH'!$C$12:$I$14,5),(IF(J72="Triplex",VLOOKUP(M72,'Características dos Cabos MX CH'!$C$15:$J$20,5),(IF(J72="Quadruplex",VLOOKUP(M72,'Características dos Cabos MX CH'!$C$21:$K$27,5),(IF(J72="13",VLOOKUP(M72,'Características dos Cabos MX CH'!$C$15:$L$20,5),"")))))))</f>
        <v/>
      </c>
      <c r="S72" s="193" t="str">
        <f>IF(J72="Duplex",VLOOKUP(M72,'Características dos Cabos MX CH'!$C$12:$I$14,6),(IF(J72="Triplex",VLOOKUP(M72,'Características dos Cabos MX CH'!$C$15:$J$20,6),(IF(J72="Quadruplex",VLOOKUP(M72,'Características dos Cabos MX CH'!$C$21:$K$27,6),(IF(J72="13",VLOOKUP(M72,'Características dos Cabos MX CH'!$C$15:$L$20,6),"")))))))</f>
        <v/>
      </c>
      <c r="T72" s="194" t="str">
        <f t="shared" si="29"/>
        <v/>
      </c>
      <c r="U72" s="447" t="str">
        <f>IF(J72="Duplex",VLOOKUP(M72,'Características dos Cabos MX CH'!$C$12:$I$14,2),(IF(J72="Triplex",VLOOKUP(M72,'Características dos Cabos MX CH'!$C$15:$J$20,2),(IF(J72="Quadruplex",VLOOKUP(M72,'Características dos Cabos MX CH'!$C$21:$K$27,2),(IF(J72="13",VLOOKUP(M72,'Características dos Cabos MX CH'!$C$15:$L$20,2),"")))))))</f>
        <v/>
      </c>
      <c r="V72" s="193" t="str">
        <f>IF(J72="Duplex",VLOOKUP(M72,'Características dos Cabos MX CH'!$C$12:$I$14,3),(IF(J72="Triplex",VLOOKUP(M72,'Características dos Cabos MX CH'!$C$15:$J$20,3),(IF(J72="Quadruplex",VLOOKUP(M72,'Características dos Cabos MX CH'!$C$21:$K$27,3),(IF(J72="13",VLOOKUP(M72,'Características dos Cabos MX CH'!$C$15:$L$20,3),"")))))))</f>
        <v/>
      </c>
      <c r="W72" s="195" t="str">
        <f t="shared" si="30"/>
        <v/>
      </c>
      <c r="X72" s="195" t="str">
        <f t="shared" si="31"/>
        <v/>
      </c>
      <c r="Y72" s="196" t="str">
        <f t="shared" si="32"/>
        <v/>
      </c>
      <c r="AA72" s="396">
        <f t="shared" si="33"/>
        <v>0</v>
      </c>
      <c r="AB72" s="396">
        <f t="shared" si="4"/>
        <v>0</v>
      </c>
      <c r="AC72" s="395"/>
      <c r="AE72" s="357" t="str">
        <f t="shared" si="12"/>
        <v/>
      </c>
      <c r="AF72" s="426">
        <f t="shared" si="24"/>
        <v>0</v>
      </c>
      <c r="AG72" s="420"/>
      <c r="AH72" s="420"/>
      <c r="AO72" s="401"/>
      <c r="AP72" s="413">
        <v>230</v>
      </c>
      <c r="AQ72" s="413">
        <v>2.40</v>
      </c>
      <c r="AR72" s="403"/>
    </row>
    <row r="73" spans="1:44" ht="15" customHeight="1">
      <c r="A73" s="696"/>
      <c r="B73" s="698"/>
      <c r="C73" s="568"/>
      <c r="D73" s="368"/>
      <c r="E73" s="372"/>
      <c r="F73" s="357" t="str">
        <f t="shared" si="1"/>
        <v/>
      </c>
      <c r="G73" s="384"/>
      <c r="H73" s="190" t="str">
        <f>IF(AND(E73="",G73=""),"",SUM(F73:G75))</f>
        <v/>
      </c>
      <c r="I73" s="191"/>
      <c r="J73" s="222"/>
      <c r="K73" s="222"/>
      <c r="L73" s="197" t="str">
        <f>IF(J73="Duplex",VLOOKUP(M73,'Características dos Cabos M Lot'!$C$12:$I$14,7),(IF(J73="Triplex",VLOOKUP(M73,'Características dos Cabos M Lot'!$C$15:$J$20,8),(IF(J73="Quadruplex",VLOOKUP(M73,'Características dos Cabos M Lot'!$C$21:$K$27,9),(IF(J73="13",VLOOKUP(M73,'Características dos Cabos M Lot'!$C$15:$L$20,10),"")))))))</f>
        <v/>
      </c>
      <c r="M73" s="350" t="str">
        <f t="shared" si="5"/>
        <v/>
      </c>
      <c r="N73" s="377"/>
      <c r="O73" s="192" t="str">
        <f t="shared" si="25"/>
        <v/>
      </c>
      <c r="P73" s="192" t="str">
        <f>IF(O73="","",SUM($O$66:O73)+$Z$66)</f>
        <v/>
      </c>
      <c r="Q73" s="192" t="str">
        <f t="shared" si="7"/>
        <v/>
      </c>
      <c r="R73" s="193" t="str">
        <f>IF(J73="Duplex",VLOOKUP(M73,'Características dos Cabos MX CH'!$C$12:$I$14,5),(IF(J73="Triplex",VLOOKUP(M73,'Características dos Cabos MX CH'!$C$15:$J$20,5),(IF(J73="Quadruplex",VLOOKUP(M73,'Características dos Cabos MX CH'!$C$21:$K$27,5),(IF(J73="13",VLOOKUP(M73,'Características dos Cabos MX CH'!$C$15:$L$20,5),"")))))))</f>
        <v/>
      </c>
      <c r="S73" s="193" t="str">
        <f>IF(J73="Duplex",VLOOKUP(M73,'Características dos Cabos MX CH'!$C$12:$I$14,6),(IF(J73="Triplex",VLOOKUP(M73,'Características dos Cabos MX CH'!$C$15:$J$20,6),(IF(J73="Quadruplex",VLOOKUP(M73,'Características dos Cabos MX CH'!$C$21:$K$27,6),(IF(J73="13",VLOOKUP(M73,'Características dos Cabos MX CH'!$C$15:$L$20,6),"")))))))</f>
        <v/>
      </c>
      <c r="T73" s="194" t="str">
        <f t="shared" si="29"/>
        <v/>
      </c>
      <c r="U73" s="447" t="str">
        <f>IF(J73="Duplex",VLOOKUP(M73,'Características dos Cabos MX CH'!$C$12:$I$14,2),(IF(J73="Triplex",VLOOKUP(M73,'Características dos Cabos MX CH'!$C$15:$J$20,2),(IF(J73="Quadruplex",VLOOKUP(M73,'Características dos Cabos MX CH'!$C$21:$K$27,2),(IF(J73="13",VLOOKUP(M73,'Características dos Cabos MX CH'!$C$15:$L$20,2),"")))))))</f>
        <v/>
      </c>
      <c r="V73" s="193" t="str">
        <f>IF(J73="Duplex",VLOOKUP(M73,'Características dos Cabos MX CH'!$C$12:$I$14,3),(IF(J73="Triplex",VLOOKUP(M73,'Características dos Cabos MX CH'!$C$15:$J$20,3),(IF(J73="Quadruplex",VLOOKUP(M73,'Características dos Cabos MX CH'!$C$21:$K$27,3),(IF(J73="13",VLOOKUP(M73,'Características dos Cabos MX CH'!$C$15:$L$20,3),"")))))))</f>
        <v/>
      </c>
      <c r="W73" s="195" t="str">
        <f t="shared" si="30"/>
        <v/>
      </c>
      <c r="X73" s="195" t="str">
        <f t="shared" si="31"/>
        <v/>
      </c>
      <c r="Y73" s="196" t="str">
        <f t="shared" si="32"/>
        <v/>
      </c>
      <c r="AA73" s="396">
        <f t="shared" si="33"/>
        <v>0</v>
      </c>
      <c r="AB73" s="396">
        <f t="shared" si="4"/>
        <v>0</v>
      </c>
      <c r="AC73" s="395"/>
      <c r="AE73" s="357" t="str">
        <f t="shared" si="12"/>
        <v/>
      </c>
      <c r="AF73" s="426">
        <f t="shared" si="24"/>
        <v>0</v>
      </c>
      <c r="AG73" s="420"/>
      <c r="AH73" s="420"/>
      <c r="AO73" s="401"/>
      <c r="AP73" s="413">
        <v>240</v>
      </c>
      <c r="AQ73" s="413">
        <v>2.4500000000000002</v>
      </c>
      <c r="AR73" s="403"/>
    </row>
    <row r="74" spans="1:44" ht="15" customHeight="1">
      <c r="A74" s="696"/>
      <c r="B74" s="698"/>
      <c r="C74" s="568"/>
      <c r="D74" s="368"/>
      <c r="E74" s="372"/>
      <c r="F74" s="357" t="str">
        <f t="shared" si="1"/>
        <v/>
      </c>
      <c r="G74" s="384"/>
      <c r="H74" s="190" t="str">
        <f>IF(AND(E74="",G74=""),"",SUM(F74:G75))</f>
        <v/>
      </c>
      <c r="I74" s="191"/>
      <c r="J74" s="222"/>
      <c r="K74" s="222"/>
      <c r="L74" s="197" t="str">
        <f>IF(J74="Duplex",VLOOKUP(M74,'Características dos Cabos M Lot'!$C$12:$I$14,7),(IF(J74="Triplex",VLOOKUP(M74,'Características dos Cabos M Lot'!$C$15:$J$20,8),(IF(J74="Quadruplex",VLOOKUP(M74,'Características dos Cabos M Lot'!$C$21:$K$27,9),(IF(J74="13",VLOOKUP(M74,'Características dos Cabos M Lot'!$C$15:$L$20,10),"")))))))</f>
        <v/>
      </c>
      <c r="M74" s="350" t="str">
        <f t="shared" si="5"/>
        <v/>
      </c>
      <c r="N74" s="377"/>
      <c r="O74" s="192" t="str">
        <f t="shared" si="25"/>
        <v/>
      </c>
      <c r="P74" s="192" t="str">
        <f>IF(O74="","",SUM($O$66:O74)+$Z$66)</f>
        <v/>
      </c>
      <c r="Q74" s="192" t="str">
        <f t="shared" si="7"/>
        <v/>
      </c>
      <c r="R74" s="193" t="str">
        <f>IF(J74="Duplex",VLOOKUP(M74,'Características dos Cabos MX CH'!$C$12:$I$14,5),(IF(J74="Triplex",VLOOKUP(M74,'Características dos Cabos MX CH'!$C$15:$J$20,5),(IF(J74="Quadruplex",VLOOKUP(M74,'Características dos Cabos MX CH'!$C$21:$K$27,5),(IF(J74="13",VLOOKUP(M74,'Características dos Cabos MX CH'!$C$15:$L$20,5),"")))))))</f>
        <v/>
      </c>
      <c r="S74" s="193" t="str">
        <f>IF(J74="Duplex",VLOOKUP(M74,'Características dos Cabos MX CH'!$C$12:$I$14,6),(IF(J74="Triplex",VLOOKUP(M74,'Características dos Cabos MX CH'!$C$15:$J$20,6),(IF(J74="Quadruplex",VLOOKUP(M74,'Características dos Cabos MX CH'!$C$21:$K$27,6),(IF(J74="13",VLOOKUP(M74,'Características dos Cabos MX CH'!$C$15:$L$20,6),"")))))))</f>
        <v/>
      </c>
      <c r="T74" s="194" t="str">
        <f t="shared" si="29"/>
        <v/>
      </c>
      <c r="U74" s="447" t="str">
        <f>IF(J74="Duplex",VLOOKUP(M74,'Características dos Cabos MX CH'!$C$12:$I$14,2),(IF(J74="Triplex",VLOOKUP(M74,'Características dos Cabos MX CH'!$C$15:$J$20,2),(IF(J74="Quadruplex",VLOOKUP(M74,'Características dos Cabos MX CH'!$C$21:$K$27,2),(IF(J74="13",VLOOKUP(M74,'Características dos Cabos MX CH'!$C$15:$L$20,2),"")))))))</f>
        <v/>
      </c>
      <c r="V74" s="193" t="str">
        <f>IF(J74="Duplex",VLOOKUP(M74,'Características dos Cabos MX CH'!$C$12:$I$14,3),(IF(J74="Triplex",VLOOKUP(M74,'Características dos Cabos MX CH'!$C$15:$J$20,3),(IF(J74="Quadruplex",VLOOKUP(M74,'Características dos Cabos MX CH'!$C$21:$K$27,3),(IF(J74="13",VLOOKUP(M74,'Características dos Cabos MX CH'!$C$15:$L$20,3),"")))))))</f>
        <v/>
      </c>
      <c r="W74" s="195" t="str">
        <f t="shared" si="30"/>
        <v/>
      </c>
      <c r="X74" s="195" t="str">
        <f t="shared" si="31"/>
        <v/>
      </c>
      <c r="Y74" s="196" t="str">
        <f t="shared" si="32"/>
        <v/>
      </c>
      <c r="AA74" s="396">
        <f t="shared" si="33"/>
        <v>0</v>
      </c>
      <c r="AB74" s="396">
        <f t="shared" si="4"/>
        <v>0</v>
      </c>
      <c r="AC74" s="395"/>
      <c r="AE74" s="357" t="str">
        <f t="shared" si="12"/>
        <v/>
      </c>
      <c r="AF74" s="426">
        <f t="shared" si="24"/>
        <v>0</v>
      </c>
      <c r="AG74" s="420"/>
      <c r="AH74" s="420"/>
      <c r="AO74" s="401"/>
      <c r="AP74" s="413">
        <v>250</v>
      </c>
      <c r="AQ74" s="413">
        <v>2.50</v>
      </c>
      <c r="AR74" s="403"/>
    </row>
    <row r="75" spans="1:44" ht="15" customHeight="1" thickBot="1">
      <c r="A75" s="696"/>
      <c r="B75" s="699"/>
      <c r="C75" s="570"/>
      <c r="D75" s="370"/>
      <c r="E75" s="369"/>
      <c r="F75" s="461" t="str">
        <f t="shared" si="1"/>
        <v/>
      </c>
      <c r="G75" s="385"/>
      <c r="H75" s="200" t="str">
        <f>IF(AND(E75="",G75=""),"",SUM(F75:G75))</f>
        <v/>
      </c>
      <c r="I75" s="201"/>
      <c r="J75" s="223"/>
      <c r="K75" s="223"/>
      <c r="L75" s="202" t="str">
        <f>IF(J75="Duplex",VLOOKUP(M75,'Características dos Cabos M Lot'!$C$12:$I$14,7),(IF(J75="Triplex",VLOOKUP(M75,'Características dos Cabos M Lot'!$C$15:$J$20,8),(IF(J75="Quadruplex",VLOOKUP(M75,'Características dos Cabos M Lot'!$C$21:$K$27,9),(IF(J75="13",VLOOKUP(M75,'Características dos Cabos M Lot'!$C$15:$L$20,10),"")))))))</f>
        <v/>
      </c>
      <c r="M75" s="353" t="str">
        <f t="shared" si="5"/>
        <v/>
      </c>
      <c r="N75" s="378"/>
      <c r="O75" s="203" t="str">
        <f t="shared" si="25"/>
        <v/>
      </c>
      <c r="P75" s="203" t="str">
        <f>IF(O75="","",SUM($O$66:O75)+$Z$66)</f>
        <v/>
      </c>
      <c r="Q75" s="203" t="str">
        <f t="shared" si="7"/>
        <v/>
      </c>
      <c r="R75" s="204" t="str">
        <f>IF(J75="Duplex",VLOOKUP(M75,'Características dos Cabos MX CH'!$C$12:$I$14,5),(IF(J75="Triplex",VLOOKUP(M75,'Características dos Cabos MX CH'!$C$15:$J$20,5),(IF(J75="Quadruplex",VLOOKUP(M75,'Características dos Cabos MX CH'!$C$21:$K$27,5),(IF(J75="13",VLOOKUP(M75,'Características dos Cabos MX CH'!$C$15:$L$20,5),"")))))))</f>
        <v/>
      </c>
      <c r="S75" s="204" t="str">
        <f>IF(J75="Duplex",VLOOKUP(M75,'Características dos Cabos MX CH'!$C$12:$I$14,6),(IF(J75="Triplex",VLOOKUP(M75,'Características dos Cabos MX CH'!$C$15:$J$20,6),(IF(J75="Quadruplex",VLOOKUP(M75,'Características dos Cabos MX CH'!$C$21:$K$27,6),(IF(J75="13",VLOOKUP(M75,'Características dos Cabos MX CH'!$C$15:$L$20,6),"")))))))</f>
        <v/>
      </c>
      <c r="T75" s="561" t="str">
        <f t="shared" si="29"/>
        <v/>
      </c>
      <c r="U75" s="448" t="str">
        <f>IF(J75="Duplex",VLOOKUP(M75,'Características dos Cabos MX CH'!$C$12:$I$14,2),(IF(J75="Triplex",VLOOKUP(M75,'Características dos Cabos MX CH'!$C$15:$J$20,2),(IF(J75="Quadruplex",VLOOKUP(M75,'Características dos Cabos MX CH'!$C$21:$K$27,2),(IF(J75="13",VLOOKUP(M75,'Características dos Cabos MX CH'!$C$15:$L$20,2),"")))))))</f>
        <v/>
      </c>
      <c r="V75" s="204" t="str">
        <f>IF(J75="Duplex",VLOOKUP(M75,'Características dos Cabos MX CH'!$C$12:$I$14,3),(IF(J75="Triplex",VLOOKUP(M75,'Características dos Cabos MX CH'!$C$15:$J$20,3),(IF(J75="Quadruplex",VLOOKUP(M75,'Características dos Cabos MX CH'!$C$21:$K$27,3),(IF(J75="13",VLOOKUP(M75,'Características dos Cabos MX CH'!$C$15:$L$20,3),"")))))))</f>
        <v/>
      </c>
      <c r="W75" s="206" t="str">
        <f t="shared" si="30"/>
        <v/>
      </c>
      <c r="X75" s="206" t="str">
        <f t="shared" si="31"/>
        <v/>
      </c>
      <c r="Y75" s="207" t="str">
        <f t="shared" si="32"/>
        <v/>
      </c>
      <c r="AA75" s="396">
        <f t="shared" si="33"/>
        <v>0</v>
      </c>
      <c r="AB75" s="396">
        <f t="shared" si="4"/>
        <v>0</v>
      </c>
      <c r="AC75" s="395"/>
      <c r="AE75" s="357" t="str">
        <f t="shared" si="12"/>
        <v/>
      </c>
      <c r="AF75" s="426">
        <f t="shared" si="24"/>
        <v>0</v>
      </c>
      <c r="AG75" s="420"/>
      <c r="AH75" s="420"/>
      <c r="AO75" s="401"/>
      <c r="AP75" s="413">
        <v>260</v>
      </c>
      <c r="AQ75" s="413">
        <v>2.5499999999999998</v>
      </c>
      <c r="AR75" s="403"/>
    </row>
    <row r="76" spans="1:44" ht="15" customHeight="1" thickTop="1">
      <c r="A76" s="696"/>
      <c r="B76" s="700" t="str">
        <f>CONCATENATE("Ramal 4 - Derivando no ponto ",C76)</f>
        <v xml:space="preserve">Ramal 4 - Derivando no ponto </v>
      </c>
      <c r="C76" s="571"/>
      <c r="D76" s="371"/>
      <c r="E76" s="374"/>
      <c r="F76" s="459" t="str">
        <f t="shared" si="1"/>
        <v/>
      </c>
      <c r="G76" s="386"/>
      <c r="H76" s="209" t="str">
        <f>IF(AND(E76="",G76=""),"",SUM(F76:G85))</f>
        <v/>
      </c>
      <c r="I76" s="210"/>
      <c r="J76" s="224"/>
      <c r="K76" s="224"/>
      <c r="L76" s="211" t="str">
        <f>IF(J76="Duplex",VLOOKUP(M76,'Características dos Cabos M Lot'!$C$12:$I$14,7),(IF(J76="Triplex",VLOOKUP(M76,'Características dos Cabos M Lot'!$C$15:$J$20,8),(IF(J76="Quadruplex",VLOOKUP(M76,'Características dos Cabos M Lot'!$C$21:$K$27,9),(IF(J76="13",VLOOKUP(M76,'Características dos Cabos M Lot'!$C$15:$L$20,10),"")))))))</f>
        <v/>
      </c>
      <c r="M76" s="354" t="str">
        <f t="shared" si="5"/>
        <v/>
      </c>
      <c r="N76" s="379"/>
      <c r="O76" s="212" t="str">
        <f t="shared" si="25"/>
        <v/>
      </c>
      <c r="P76" s="212" t="str">
        <f>IF(O76="","",O76+VLOOKUP(C76,$D$20:$Q$75,13,FALSE))</f>
        <v/>
      </c>
      <c r="Q76" s="212" t="str">
        <f t="shared" si="7"/>
        <v/>
      </c>
      <c r="R76" s="213" t="str">
        <f>IF(J76="Duplex",VLOOKUP(M76,'Características dos Cabos MX CH'!$C$12:$I$14,5),(IF(J76="Triplex",VLOOKUP(M76,'Características dos Cabos MX CH'!$C$15:$J$20,5),(IF(J76="Quadruplex",VLOOKUP(M76,'Características dos Cabos MX CH'!$C$21:$K$27,5),(IF(J76="13",VLOOKUP(M76,'Características dos Cabos MX CH'!$C$15:$L$20,5),"")))))))</f>
        <v/>
      </c>
      <c r="S76" s="213" t="str">
        <f>IF(J76="Duplex",VLOOKUP(M76,'Características dos Cabos MX CH'!$C$12:$I$14,6),(IF(J76="Triplex",VLOOKUP(M76,'Características dos Cabos MX CH'!$C$15:$J$20,6),(IF(J76="Quadruplex",VLOOKUP(M76,'Características dos Cabos MX CH'!$C$21:$K$27,6),(IF(J76="13",VLOOKUP(M76,'Características dos Cabos MX CH'!$C$15:$L$20,6),"")))))))</f>
        <v/>
      </c>
      <c r="T76" s="214" t="str">
        <f t="shared" si="29"/>
        <v/>
      </c>
      <c r="U76" s="450" t="str">
        <f>IF(J76="Duplex",VLOOKUP(M76,'Características dos Cabos MX CH'!$C$12:$I$14,2),(IF(J76="Triplex",VLOOKUP(M76,'Características dos Cabos MX CH'!$C$15:$J$20,2),(IF(J76="Quadruplex",VLOOKUP(M76,'Características dos Cabos MX CH'!$C$21:$K$27,2),(IF(J76="13",VLOOKUP(M76,'Características dos Cabos MX CH'!$C$15:$L$20,2),"")))))))</f>
        <v/>
      </c>
      <c r="V76" s="213" t="str">
        <f>IF(J76="Duplex",VLOOKUP(M76,'Características dos Cabos MX CH'!$C$12:$I$14,3),(IF(J76="Triplex",VLOOKUP(M76,'Características dos Cabos MX CH'!$C$15:$J$20,3),(IF(J76="Quadruplex",VLOOKUP(M76,'Características dos Cabos MX CH'!$C$21:$K$27,3),(IF(J76="13",VLOOKUP(M76,'Características dos Cabos MX CH'!$C$15:$L$20,3),"")))))))</f>
        <v/>
      </c>
      <c r="W76" s="215" t="str">
        <f t="shared" si="30"/>
        <v/>
      </c>
      <c r="X76" s="215" t="str">
        <f t="shared" si="31"/>
        <v/>
      </c>
      <c r="Y76" s="216" t="str">
        <f t="shared" si="32"/>
        <v/>
      </c>
      <c r="Z76" s="393" t="str">
        <f>IF(O76="","",VLOOKUP(C76,$D$20:$P$75,13,FALSE))</f>
        <v/>
      </c>
      <c r="AA76" s="396">
        <f t="shared" si="33"/>
        <v>0</v>
      </c>
      <c r="AB76" s="396">
        <f t="shared" si="4"/>
        <v>0</v>
      </c>
      <c r="AC76" s="395"/>
      <c r="AE76" s="357" t="str">
        <f t="shared" si="12"/>
        <v/>
      </c>
      <c r="AF76" s="426">
        <f t="shared" si="24"/>
        <v>0</v>
      </c>
      <c r="AG76" s="420"/>
      <c r="AH76" s="420"/>
      <c r="AO76" s="401"/>
      <c r="AP76" s="413">
        <v>270</v>
      </c>
      <c r="AQ76" s="413">
        <v>2.61</v>
      </c>
      <c r="AR76" s="403"/>
    </row>
    <row r="77" spans="1:44" ht="15" customHeight="1">
      <c r="A77" s="696"/>
      <c r="B77" s="698"/>
      <c r="C77" s="568"/>
      <c r="D77" s="368"/>
      <c r="E77" s="372"/>
      <c r="F77" s="357" t="str">
        <f t="shared" si="1"/>
        <v/>
      </c>
      <c r="G77" s="386"/>
      <c r="H77" s="190" t="str">
        <f>IF(AND(E77="",G77=""),"",SUM(F77:G85))</f>
        <v/>
      </c>
      <c r="I77" s="191"/>
      <c r="J77" s="222"/>
      <c r="K77" s="222"/>
      <c r="L77" s="197" t="str">
        <f>IF(J77="Duplex",VLOOKUP(M77,'Características dos Cabos M Lot'!$C$12:$I$14,7),(IF(J77="Triplex",VLOOKUP(M77,'Características dos Cabos M Lot'!$C$15:$J$20,8),(IF(J77="Quadruplex",VLOOKUP(M77,'Características dos Cabos M Lot'!$C$21:$K$27,9),(IF(J77="13",VLOOKUP(M77,'Características dos Cabos M Lot'!$C$15:$L$20,10),"")))))))</f>
        <v/>
      </c>
      <c r="M77" s="350" t="str">
        <f t="shared" si="5"/>
        <v/>
      </c>
      <c r="N77" s="377"/>
      <c r="O77" s="192" t="str">
        <f t="shared" si="25"/>
        <v/>
      </c>
      <c r="P77" s="192" t="str">
        <f>IF(O77="","",SUM($O$76:O77)+$Z$76)</f>
        <v/>
      </c>
      <c r="Q77" s="192" t="str">
        <f t="shared" si="7"/>
        <v/>
      </c>
      <c r="R77" s="193" t="str">
        <f>IF(J77="Duplex",VLOOKUP(M77,'Características dos Cabos MX CH'!$C$12:$I$14,5),(IF(J77="Triplex",VLOOKUP(M77,'Características dos Cabos MX CH'!$C$15:$J$20,5),(IF(J77="Quadruplex",VLOOKUP(M77,'Características dos Cabos MX CH'!$C$21:$K$27,5),(IF(J77="13",VLOOKUP(M77,'Características dos Cabos MX CH'!$C$15:$L$20,5),"")))))))</f>
        <v/>
      </c>
      <c r="S77" s="193" t="str">
        <f>IF(J77="Duplex",VLOOKUP(M77,'Características dos Cabos MX CH'!$C$12:$I$14,6),(IF(J77="Triplex",VLOOKUP(M77,'Características dos Cabos MX CH'!$C$15:$J$20,6),(IF(J77="Quadruplex",VLOOKUP(M77,'Características dos Cabos MX CH'!$C$21:$K$27,6),(IF(J77="13",VLOOKUP(M77,'Características dos Cabos MX CH'!$C$15:$L$20,6),"")))))))</f>
        <v/>
      </c>
      <c r="T77" s="194" t="str">
        <f t="shared" si="29"/>
        <v/>
      </c>
      <c r="U77" s="447" t="str">
        <f>IF(J77="Duplex",VLOOKUP(M77,'Características dos Cabos MX CH'!$C$12:$I$14,2),(IF(J77="Triplex",VLOOKUP(M77,'Características dos Cabos MX CH'!$C$15:$J$20,2),(IF(J77="Quadruplex",VLOOKUP(M77,'Características dos Cabos MX CH'!$C$21:$K$27,2),(IF(J77="13",VLOOKUP(M77,'Características dos Cabos MX CH'!$C$15:$L$20,2),"")))))))</f>
        <v/>
      </c>
      <c r="V77" s="193" t="str">
        <f>IF(J77="Duplex",VLOOKUP(M77,'Características dos Cabos MX CH'!$C$12:$I$14,3),(IF(J77="Triplex",VLOOKUP(M77,'Características dos Cabos MX CH'!$C$15:$J$20,3),(IF(J77="Quadruplex",VLOOKUP(M77,'Características dos Cabos MX CH'!$C$21:$K$27,3),(IF(J77="13",VLOOKUP(M77,'Características dos Cabos MX CH'!$C$15:$L$20,3),"")))))))</f>
        <v/>
      </c>
      <c r="W77" s="195" t="str">
        <f t="shared" si="30"/>
        <v/>
      </c>
      <c r="X77" s="195" t="str">
        <f t="shared" si="31"/>
        <v/>
      </c>
      <c r="Y77" s="196" t="str">
        <f t="shared" si="32"/>
        <v/>
      </c>
      <c r="AA77" s="396">
        <f t="shared" si="33"/>
        <v>0</v>
      </c>
      <c r="AB77" s="396">
        <f t="shared" si="4"/>
        <v>0</v>
      </c>
      <c r="AC77" s="395"/>
      <c r="AE77" s="357" t="str">
        <f t="shared" si="12"/>
        <v/>
      </c>
      <c r="AF77" s="426">
        <f t="shared" si="24"/>
        <v>0</v>
      </c>
      <c r="AG77" s="420"/>
      <c r="AH77" s="420"/>
      <c r="AO77" s="401"/>
      <c r="AP77" s="413">
        <v>280</v>
      </c>
      <c r="AQ77" s="413">
        <v>2.66</v>
      </c>
      <c r="AR77" s="403"/>
    </row>
    <row r="78" spans="1:44" ht="15" customHeight="1">
      <c r="A78" s="696"/>
      <c r="B78" s="698"/>
      <c r="C78" s="568"/>
      <c r="D78" s="368"/>
      <c r="E78" s="372"/>
      <c r="F78" s="357" t="str">
        <f t="shared" si="1"/>
        <v/>
      </c>
      <c r="G78" s="386"/>
      <c r="H78" s="190" t="str">
        <f>IF(AND(E78="",G78=""),"",SUM(F78:G85))</f>
        <v/>
      </c>
      <c r="I78" s="191"/>
      <c r="J78" s="222"/>
      <c r="K78" s="222"/>
      <c r="L78" s="197" t="str">
        <f>IF(J78="Duplex",VLOOKUP(M78,'Características dos Cabos M Lot'!$C$12:$I$14,7),(IF(J78="Triplex",VLOOKUP(M78,'Características dos Cabos M Lot'!$C$15:$J$20,8),(IF(J78="Quadruplex",VLOOKUP(M78,'Características dos Cabos M Lot'!$C$21:$K$27,9),(IF(J78="13",VLOOKUP(M78,'Características dos Cabos M Lot'!$C$15:$L$20,10),"")))))))</f>
        <v/>
      </c>
      <c r="M78" s="350" t="str">
        <f t="shared" si="5"/>
        <v/>
      </c>
      <c r="N78" s="377"/>
      <c r="O78" s="192" t="str">
        <f t="shared" si="34" ref="O78:O109">IF(OR(N78="",L78="",H78=""),"",N78*L78*H78)</f>
        <v/>
      </c>
      <c r="P78" s="192" t="str">
        <f>IF(O78="","",SUM($O$76:O78)+$Z$76)</f>
        <v/>
      </c>
      <c r="Q78" s="192" t="str">
        <f t="shared" si="7"/>
        <v/>
      </c>
      <c r="R78" s="193" t="str">
        <f>IF(J78="Duplex",VLOOKUP(M78,'Características dos Cabos MX CH'!$C$12:$I$14,5),(IF(J78="Triplex",VLOOKUP(M78,'Características dos Cabos MX CH'!$C$15:$J$20,5),(IF(J78="Quadruplex",VLOOKUP(M78,'Características dos Cabos MX CH'!$C$21:$K$27,5),(IF(J78="13",VLOOKUP(M78,'Características dos Cabos MX CH'!$C$15:$L$20,5),"")))))))</f>
        <v/>
      </c>
      <c r="S78" s="193" t="str">
        <f>IF(J78="Duplex",VLOOKUP(M78,'Características dos Cabos MX CH'!$C$12:$I$14,6),(IF(J78="Triplex",VLOOKUP(M78,'Características dos Cabos MX CH'!$C$15:$J$20,6),(IF(J78="Quadruplex",VLOOKUP(M78,'Características dos Cabos MX CH'!$C$21:$K$27,6),(IF(J78="13",VLOOKUP(M78,'Características dos Cabos MX CH'!$C$15:$L$20,6),"")))))))</f>
        <v/>
      </c>
      <c r="T78" s="194" t="str">
        <f t="shared" si="29"/>
        <v/>
      </c>
      <c r="U78" s="447" t="str">
        <f>IF(J78="Duplex",VLOOKUP(M78,'Características dos Cabos MX CH'!$C$12:$I$14,2),(IF(J78="Triplex",VLOOKUP(M78,'Características dos Cabos MX CH'!$C$15:$J$20,2),(IF(J78="Quadruplex",VLOOKUP(M78,'Características dos Cabos MX CH'!$C$21:$K$27,2),(IF(J78="13",VLOOKUP(M78,'Características dos Cabos MX CH'!$C$15:$L$20,2),"")))))))</f>
        <v/>
      </c>
      <c r="V78" s="193" t="str">
        <f>IF(J78="Duplex",VLOOKUP(M78,'Características dos Cabos MX CH'!$C$12:$I$14,3),(IF(J78="Triplex",VLOOKUP(M78,'Características dos Cabos MX CH'!$C$15:$J$20,3),(IF(J78="Quadruplex",VLOOKUP(M78,'Características dos Cabos MX CH'!$C$21:$K$27,3),(IF(J78="13",VLOOKUP(M78,'Características dos Cabos MX CH'!$C$15:$L$20,3),"")))))))</f>
        <v/>
      </c>
      <c r="W78" s="195" t="str">
        <f t="shared" si="30"/>
        <v/>
      </c>
      <c r="X78" s="195" t="str">
        <f t="shared" si="31"/>
        <v/>
      </c>
      <c r="Y78" s="196" t="str">
        <f t="shared" si="32"/>
        <v/>
      </c>
      <c r="AA78" s="396">
        <f t="shared" si="35" ref="AA78:AA109">D78</f>
        <v>0</v>
      </c>
      <c r="AB78" s="396">
        <f t="shared" si="4"/>
        <v>0</v>
      </c>
      <c r="AC78" s="395"/>
      <c r="AE78" s="357" t="str">
        <f t="shared" si="12"/>
        <v/>
      </c>
      <c r="AF78" s="426">
        <f t="shared" si="24"/>
        <v>0</v>
      </c>
      <c r="AG78" s="420"/>
      <c r="AH78" s="420"/>
      <c r="AO78" s="401"/>
      <c r="AP78" s="413">
        <v>290</v>
      </c>
      <c r="AQ78" s="413">
        <v>2.71</v>
      </c>
      <c r="AR78" s="403"/>
    </row>
    <row r="79" spans="1:44" ht="15" customHeight="1">
      <c r="A79" s="696"/>
      <c r="B79" s="698"/>
      <c r="C79" s="568"/>
      <c r="D79" s="368"/>
      <c r="E79" s="372"/>
      <c r="F79" s="357" t="str">
        <f t="shared" si="1"/>
        <v/>
      </c>
      <c r="G79" s="384"/>
      <c r="H79" s="190" t="str">
        <f>IF(AND(E79="",G79=""),"",SUM(F79:G85))</f>
        <v/>
      </c>
      <c r="I79" s="191"/>
      <c r="J79" s="222"/>
      <c r="K79" s="222"/>
      <c r="L79" s="197" t="str">
        <f>IF(J79="Duplex",VLOOKUP(M79,'Características dos Cabos M Lot'!$C$12:$I$14,7),(IF(J79="Triplex",VLOOKUP(M79,'Características dos Cabos M Lot'!$C$15:$J$20,8),(IF(J79="Quadruplex",VLOOKUP(M79,'Características dos Cabos M Lot'!$C$21:$K$27,9),(IF(J79="13",VLOOKUP(M79,'Características dos Cabos M Lot'!$C$15:$L$20,10),"")))))))</f>
        <v/>
      </c>
      <c r="M79" s="350" t="str">
        <f t="shared" si="5"/>
        <v/>
      </c>
      <c r="N79" s="377"/>
      <c r="O79" s="192" t="str">
        <f t="shared" si="34"/>
        <v/>
      </c>
      <c r="P79" s="192" t="str">
        <f>IF(O79="","",SUM($O$76:O79)+$Z$76)</f>
        <v/>
      </c>
      <c r="Q79" s="192" t="str">
        <f t="shared" si="7"/>
        <v/>
      </c>
      <c r="R79" s="193" t="str">
        <f>IF(J79="Duplex",VLOOKUP(M79,'Características dos Cabos MX CH'!$C$12:$I$14,5),(IF(J79="Triplex",VLOOKUP(M79,'Características dos Cabos MX CH'!$C$15:$J$20,5),(IF(J79="Quadruplex",VLOOKUP(M79,'Características dos Cabos MX CH'!$C$21:$K$27,5),(IF(J79="13",VLOOKUP(M79,'Características dos Cabos MX CH'!$C$15:$L$20,5),"")))))))</f>
        <v/>
      </c>
      <c r="S79" s="193" t="str">
        <f>IF(J79="Duplex",VLOOKUP(M79,'Características dos Cabos MX CH'!$C$12:$I$14,6),(IF(J79="Triplex",VLOOKUP(M79,'Características dos Cabos MX CH'!$C$15:$J$20,6),(IF(J79="Quadruplex",VLOOKUP(M79,'Características dos Cabos MX CH'!$C$21:$K$27,6),(IF(J79="13",VLOOKUP(M79,'Características dos Cabos MX CH'!$C$15:$L$20,6),"")))))))</f>
        <v/>
      </c>
      <c r="T79" s="194" t="str">
        <f t="shared" si="29"/>
        <v/>
      </c>
      <c r="U79" s="447" t="str">
        <f>IF(J79="Duplex",VLOOKUP(M79,'Características dos Cabos MX CH'!$C$12:$I$14,2),(IF(J79="Triplex",VLOOKUP(M79,'Características dos Cabos MX CH'!$C$15:$J$20,2),(IF(J79="Quadruplex",VLOOKUP(M79,'Características dos Cabos MX CH'!$C$21:$K$27,2),(IF(J79="13",VLOOKUP(M79,'Características dos Cabos MX CH'!$C$15:$L$20,2),"")))))))</f>
        <v/>
      </c>
      <c r="V79" s="193" t="str">
        <f>IF(J79="Duplex",VLOOKUP(M79,'Características dos Cabos MX CH'!$C$12:$I$14,3),(IF(J79="Triplex",VLOOKUP(M79,'Características dos Cabos MX CH'!$C$15:$J$20,3),(IF(J79="Quadruplex",VLOOKUP(M79,'Características dos Cabos MX CH'!$C$21:$K$27,3),(IF(J79="13",VLOOKUP(M79,'Características dos Cabos MX CH'!$C$15:$L$20,3),"")))))))</f>
        <v/>
      </c>
      <c r="W79" s="195" t="str">
        <f t="shared" si="30"/>
        <v/>
      </c>
      <c r="X79" s="195" t="str">
        <f t="shared" si="31"/>
        <v/>
      </c>
      <c r="Y79" s="196" t="str">
        <f t="shared" si="32"/>
        <v/>
      </c>
      <c r="AA79" s="396">
        <f t="shared" si="35"/>
        <v>0</v>
      </c>
      <c r="AB79" s="396">
        <f t="shared" si="4"/>
        <v>0</v>
      </c>
      <c r="AC79" s="395"/>
      <c r="AE79" s="357" t="str">
        <f t="shared" si="12"/>
        <v/>
      </c>
      <c r="AF79" s="426">
        <f t="shared" si="24"/>
        <v>0</v>
      </c>
      <c r="AG79" s="420"/>
      <c r="AH79" s="420"/>
      <c r="AO79" s="401"/>
      <c r="AP79" s="413">
        <v>300</v>
      </c>
      <c r="AQ79" s="413">
        <v>2.76</v>
      </c>
      <c r="AR79" s="403"/>
    </row>
    <row r="80" spans="1:44" ht="15" customHeight="1">
      <c r="A80" s="696"/>
      <c r="B80" s="698"/>
      <c r="C80" s="568"/>
      <c r="D80" s="368"/>
      <c r="E80" s="372"/>
      <c r="F80" s="357" t="str">
        <f t="shared" si="1"/>
        <v/>
      </c>
      <c r="G80" s="384"/>
      <c r="H80" s="190" t="str">
        <f>IF(AND(E80="",G80=""),"",SUM(F80:G85))</f>
        <v/>
      </c>
      <c r="I80" s="191"/>
      <c r="J80" s="222"/>
      <c r="K80" s="222"/>
      <c r="L80" s="197" t="str">
        <f>IF(J80="Duplex",VLOOKUP(M80,'Características dos Cabos M Lot'!$C$12:$I$14,7),(IF(J80="Triplex",VLOOKUP(M80,'Características dos Cabos M Lot'!$C$15:$J$20,8),(IF(J80="Quadruplex",VLOOKUP(M80,'Características dos Cabos M Lot'!$C$21:$K$27,9),(IF(J80="13",VLOOKUP(M80,'Características dos Cabos M Lot'!$C$15:$L$20,10),"")))))))</f>
        <v/>
      </c>
      <c r="M80" s="350" t="str">
        <f t="shared" si="5"/>
        <v/>
      </c>
      <c r="N80" s="377"/>
      <c r="O80" s="192" t="str">
        <f t="shared" si="34"/>
        <v/>
      </c>
      <c r="P80" s="192" t="str">
        <f>IF(O80="","",SUM($O$76:O80)+$Z$76)</f>
        <v/>
      </c>
      <c r="Q80" s="192" t="str">
        <f t="shared" si="7"/>
        <v/>
      </c>
      <c r="R80" s="193" t="str">
        <f>IF(J80="Duplex",VLOOKUP(M80,'Características dos Cabos MX CH'!$C$12:$I$14,5),(IF(J80="Triplex",VLOOKUP(M80,'Características dos Cabos MX CH'!$C$15:$J$20,5),(IF(J80="Quadruplex",VLOOKUP(M80,'Características dos Cabos MX CH'!$C$21:$K$27,5),(IF(J80="13",VLOOKUP(M80,'Características dos Cabos MX CH'!$C$15:$L$20,5),"")))))))</f>
        <v/>
      </c>
      <c r="S80" s="193" t="str">
        <f>IF(J80="Duplex",VLOOKUP(M80,'Características dos Cabos MX CH'!$C$12:$I$14,6),(IF(J80="Triplex",VLOOKUP(M80,'Características dos Cabos MX CH'!$C$15:$J$20,6),(IF(J80="Quadruplex",VLOOKUP(M80,'Características dos Cabos MX CH'!$C$21:$K$27,6),(IF(J80="13",VLOOKUP(M80,'Características dos Cabos MX CH'!$C$15:$L$20,6),"")))))))</f>
        <v/>
      </c>
      <c r="T80" s="194" t="str">
        <f t="shared" si="29"/>
        <v/>
      </c>
      <c r="U80" s="447" t="str">
        <f>IF(J80="Duplex",VLOOKUP(M80,'Características dos Cabos MX CH'!$C$12:$I$14,2),(IF(J80="Triplex",VLOOKUP(M80,'Características dos Cabos MX CH'!$C$15:$J$20,2),(IF(J80="Quadruplex",VLOOKUP(M80,'Características dos Cabos MX CH'!$C$21:$K$27,2),(IF(J80="13",VLOOKUP(M80,'Características dos Cabos MX CH'!$C$15:$L$20,2),"")))))))</f>
        <v/>
      </c>
      <c r="V80" s="193" t="str">
        <f>IF(J80="Duplex",VLOOKUP(M80,'Características dos Cabos MX CH'!$C$12:$I$14,3),(IF(J80="Triplex",VLOOKUP(M80,'Características dos Cabos MX CH'!$C$15:$J$20,3),(IF(J80="Quadruplex",VLOOKUP(M80,'Características dos Cabos MX CH'!$C$21:$K$27,3),(IF(J80="13",VLOOKUP(M80,'Características dos Cabos MX CH'!$C$15:$L$20,3),"")))))))</f>
        <v/>
      </c>
      <c r="W80" s="195" t="str">
        <f t="shared" si="30"/>
        <v/>
      </c>
      <c r="X80" s="195" t="str">
        <f t="shared" si="31"/>
        <v/>
      </c>
      <c r="Y80" s="196" t="str">
        <f t="shared" si="32"/>
        <v/>
      </c>
      <c r="AA80" s="396">
        <f t="shared" si="35"/>
        <v>0</v>
      </c>
      <c r="AB80" s="396">
        <f t="shared" si="4"/>
        <v>0</v>
      </c>
      <c r="AC80" s="395"/>
      <c r="AE80" s="357" t="str">
        <f t="shared" si="12"/>
        <v/>
      </c>
      <c r="AF80" s="426">
        <f t="shared" si="24"/>
        <v>0</v>
      </c>
      <c r="AG80" s="420"/>
      <c r="AH80" s="420"/>
      <c r="AO80" s="401"/>
      <c r="AP80" s="413">
        <v>310</v>
      </c>
      <c r="AQ80" s="413">
        <v>2.81</v>
      </c>
      <c r="AR80" s="403"/>
    </row>
    <row r="81" spans="1:44" ht="15" customHeight="1">
      <c r="A81" s="696"/>
      <c r="B81" s="698"/>
      <c r="C81" s="568"/>
      <c r="D81" s="368"/>
      <c r="E81" s="372"/>
      <c r="F81" s="357" t="str">
        <f t="shared" si="1"/>
        <v/>
      </c>
      <c r="G81" s="384"/>
      <c r="H81" s="190" t="str">
        <f>IF(AND(E81="",G81=""),"",SUM(F81:G85))</f>
        <v/>
      </c>
      <c r="I81" s="191"/>
      <c r="J81" s="222"/>
      <c r="K81" s="222"/>
      <c r="L81" s="197" t="str">
        <f>IF(J81="Duplex",VLOOKUP(M81,'Características dos Cabos M Lot'!$C$12:$I$14,7),(IF(J81="Triplex",VLOOKUP(M81,'Características dos Cabos M Lot'!$C$15:$J$20,8),(IF(J81="Quadruplex",VLOOKUP(M81,'Características dos Cabos M Lot'!$C$21:$K$27,9),(IF(J81="13",VLOOKUP(M81,'Características dos Cabos M Lot'!$C$15:$L$20,10),"")))))))</f>
        <v/>
      </c>
      <c r="M81" s="350" t="str">
        <f t="shared" si="5"/>
        <v/>
      </c>
      <c r="N81" s="377"/>
      <c r="O81" s="192" t="str">
        <f t="shared" si="34"/>
        <v/>
      </c>
      <c r="P81" s="192" t="str">
        <f>IF(O81="","",SUM($O$76:O81)+$Z$76)</f>
        <v/>
      </c>
      <c r="Q81" s="192" t="str">
        <f t="shared" si="7"/>
        <v/>
      </c>
      <c r="R81" s="193" t="str">
        <f>IF(J81="Duplex",VLOOKUP(M81,'Características dos Cabos MX CH'!$C$12:$I$14,5),(IF(J81="Triplex",VLOOKUP(M81,'Características dos Cabos MX CH'!$C$15:$J$20,5),(IF(J81="Quadruplex",VLOOKUP(M81,'Características dos Cabos MX CH'!$C$21:$K$27,5),(IF(J81="13",VLOOKUP(M81,'Características dos Cabos MX CH'!$C$15:$L$20,5),"")))))))</f>
        <v/>
      </c>
      <c r="S81" s="193" t="str">
        <f>IF(J81="Duplex",VLOOKUP(M81,'Características dos Cabos MX CH'!$C$12:$I$14,6),(IF(J81="Triplex",VLOOKUP(M81,'Características dos Cabos MX CH'!$C$15:$J$20,6),(IF(J81="Quadruplex",VLOOKUP(M81,'Características dos Cabos MX CH'!$C$21:$K$27,6),(IF(J81="13",VLOOKUP(M81,'Características dos Cabos MX CH'!$C$15:$L$20,6),"")))))))</f>
        <v/>
      </c>
      <c r="T81" s="194" t="str">
        <f t="shared" si="29"/>
        <v/>
      </c>
      <c r="U81" s="447" t="str">
        <f>IF(J81="Duplex",VLOOKUP(M81,'Características dos Cabos MX CH'!$C$12:$I$14,2),(IF(J81="Triplex",VLOOKUP(M81,'Características dos Cabos MX CH'!$C$15:$J$20,2),(IF(J81="Quadruplex",VLOOKUP(M81,'Características dos Cabos MX CH'!$C$21:$K$27,2),(IF(J81="13",VLOOKUP(M81,'Características dos Cabos MX CH'!$C$15:$L$20,2),"")))))))</f>
        <v/>
      </c>
      <c r="V81" s="193" t="str">
        <f>IF(J81="Duplex",VLOOKUP(M81,'Características dos Cabos MX CH'!$C$12:$I$14,3),(IF(J81="Triplex",VLOOKUP(M81,'Características dos Cabos MX CH'!$C$15:$J$20,3),(IF(J81="Quadruplex",VLOOKUP(M81,'Características dos Cabos MX CH'!$C$21:$K$27,3),(IF(J81="13",VLOOKUP(M81,'Características dos Cabos MX CH'!$C$15:$L$20,3),"")))))))</f>
        <v/>
      </c>
      <c r="W81" s="195" t="str">
        <f t="shared" si="30"/>
        <v/>
      </c>
      <c r="X81" s="195" t="str">
        <f t="shared" si="31"/>
        <v/>
      </c>
      <c r="Y81" s="196" t="str">
        <f t="shared" si="32"/>
        <v/>
      </c>
      <c r="AA81" s="396">
        <f t="shared" si="35"/>
        <v>0</v>
      </c>
      <c r="AB81" s="396">
        <f t="shared" si="4"/>
        <v>0</v>
      </c>
      <c r="AC81" s="395"/>
      <c r="AE81" s="357" t="str">
        <f t="shared" si="12"/>
        <v/>
      </c>
      <c r="AF81" s="426">
        <f t="shared" si="24"/>
        <v>0</v>
      </c>
      <c r="AG81" s="420"/>
      <c r="AH81" s="420"/>
      <c r="AO81" s="401"/>
      <c r="AP81" s="413">
        <v>320</v>
      </c>
      <c r="AQ81" s="413">
        <v>2.86</v>
      </c>
      <c r="AR81" s="403"/>
    </row>
    <row r="82" spans="1:44" ht="15" customHeight="1">
      <c r="A82" s="696"/>
      <c r="B82" s="698"/>
      <c r="C82" s="568"/>
      <c r="D82" s="368"/>
      <c r="E82" s="372"/>
      <c r="F82" s="357" t="str">
        <f t="shared" si="1"/>
        <v/>
      </c>
      <c r="G82" s="384"/>
      <c r="H82" s="190" t="str">
        <f>IF(AND(E82="",G82=""),"",SUM(F82:G85))</f>
        <v/>
      </c>
      <c r="I82" s="191"/>
      <c r="J82" s="222"/>
      <c r="K82" s="222"/>
      <c r="L82" s="197" t="str">
        <f>IF(J82="Duplex",VLOOKUP(M82,'Características dos Cabos M Lot'!$C$12:$I$14,7),(IF(J82="Triplex",VLOOKUP(M82,'Características dos Cabos M Lot'!$C$15:$J$20,8),(IF(J82="Quadruplex",VLOOKUP(M82,'Características dos Cabos M Lot'!$C$21:$K$27,9),(IF(J82="13",VLOOKUP(M82,'Características dos Cabos M Lot'!$C$15:$L$20,10),"")))))))</f>
        <v/>
      </c>
      <c r="M82" s="350" t="str">
        <f t="shared" si="5"/>
        <v/>
      </c>
      <c r="N82" s="377"/>
      <c r="O82" s="192" t="str">
        <f t="shared" si="34"/>
        <v/>
      </c>
      <c r="P82" s="192" t="str">
        <f>IF(O82="","",SUM($O$76:O82)+$Z$76)</f>
        <v/>
      </c>
      <c r="Q82" s="192" t="str">
        <f t="shared" si="7"/>
        <v/>
      </c>
      <c r="R82" s="193" t="str">
        <f>IF(J82="Duplex",VLOOKUP(M82,'Características dos Cabos MX CH'!$C$12:$I$14,5),(IF(J82="Triplex",VLOOKUP(M82,'Características dos Cabos MX CH'!$C$15:$J$20,5),(IF(J82="Quadruplex",VLOOKUP(M82,'Características dos Cabos MX CH'!$C$21:$K$27,5),(IF(J82="13",VLOOKUP(M82,'Características dos Cabos MX CH'!$C$15:$L$20,5),"")))))))</f>
        <v/>
      </c>
      <c r="S82" s="193" t="str">
        <f>IF(J82="Duplex",VLOOKUP(M82,'Características dos Cabos MX CH'!$C$12:$I$14,6),(IF(J82="Triplex",VLOOKUP(M82,'Características dos Cabos MX CH'!$C$15:$J$20,6),(IF(J82="Quadruplex",VLOOKUP(M82,'Características dos Cabos MX CH'!$C$21:$K$27,6),(IF(J82="13",VLOOKUP(M82,'Características dos Cabos MX CH'!$C$15:$L$20,6),"")))))))</f>
        <v/>
      </c>
      <c r="T82" s="194" t="str">
        <f t="shared" si="29"/>
        <v/>
      </c>
      <c r="U82" s="447" t="str">
        <f>IF(J82="Duplex",VLOOKUP(M82,'Características dos Cabos MX CH'!$C$12:$I$14,2),(IF(J82="Triplex",VLOOKUP(M82,'Características dos Cabos MX CH'!$C$15:$J$20,2),(IF(J82="Quadruplex",VLOOKUP(M82,'Características dos Cabos MX CH'!$C$21:$K$27,2),(IF(J82="13",VLOOKUP(M82,'Características dos Cabos MX CH'!$C$15:$L$20,2),"")))))))</f>
        <v/>
      </c>
      <c r="V82" s="193" t="str">
        <f>IF(J82="Duplex",VLOOKUP(M82,'Características dos Cabos MX CH'!$C$12:$I$14,3),(IF(J82="Triplex",VLOOKUP(M82,'Características dos Cabos MX CH'!$C$15:$J$20,3),(IF(J82="Quadruplex",VLOOKUP(M82,'Características dos Cabos MX CH'!$C$21:$K$27,3),(IF(J82="13",VLOOKUP(M82,'Características dos Cabos MX CH'!$C$15:$L$20,3),"")))))))</f>
        <v/>
      </c>
      <c r="W82" s="195" t="str">
        <f t="shared" si="30"/>
        <v/>
      </c>
      <c r="X82" s="195" t="str">
        <f t="shared" si="31"/>
        <v/>
      </c>
      <c r="Y82" s="196" t="str">
        <f t="shared" si="32"/>
        <v/>
      </c>
      <c r="AA82" s="396">
        <f t="shared" si="35"/>
        <v>0</v>
      </c>
      <c r="AB82" s="396">
        <f t="shared" si="4"/>
        <v>0</v>
      </c>
      <c r="AC82" s="395"/>
      <c r="AE82" s="357" t="str">
        <f t="shared" si="12"/>
        <v/>
      </c>
      <c r="AF82" s="426">
        <f t="shared" si="24"/>
        <v>0</v>
      </c>
      <c r="AG82" s="420"/>
      <c r="AH82" s="420"/>
      <c r="AO82" s="401"/>
      <c r="AP82" s="413">
        <v>330</v>
      </c>
      <c r="AQ82" s="413">
        <v>2.91</v>
      </c>
      <c r="AR82" s="403"/>
    </row>
    <row r="83" spans="1:44" ht="15" customHeight="1">
      <c r="A83" s="696"/>
      <c r="B83" s="698"/>
      <c r="C83" s="568"/>
      <c r="D83" s="368"/>
      <c r="E83" s="372"/>
      <c r="F83" s="357" t="str">
        <f t="shared" si="1"/>
        <v/>
      </c>
      <c r="G83" s="384"/>
      <c r="H83" s="190" t="str">
        <f>IF(AND(E83="",G83=""),"",SUM(F83:G85))</f>
        <v/>
      </c>
      <c r="I83" s="191"/>
      <c r="J83" s="222"/>
      <c r="K83" s="222"/>
      <c r="L83" s="197" t="str">
        <f>IF(J83="Duplex",VLOOKUP(M83,'Características dos Cabos M Lot'!$C$12:$I$14,7),(IF(J83="Triplex",VLOOKUP(M83,'Características dos Cabos M Lot'!$C$15:$J$20,8),(IF(J83="Quadruplex",VLOOKUP(M83,'Características dos Cabos M Lot'!$C$21:$K$27,9),(IF(J83="13",VLOOKUP(M83,'Características dos Cabos M Lot'!$C$15:$L$20,10),"")))))))</f>
        <v/>
      </c>
      <c r="M83" s="350" t="str">
        <f t="shared" si="5"/>
        <v/>
      </c>
      <c r="N83" s="377"/>
      <c r="O83" s="192" t="str">
        <f t="shared" si="34"/>
        <v/>
      </c>
      <c r="P83" s="192" t="str">
        <f>IF(O83="","",SUM($O$76:O83)+$Z$76)</f>
        <v/>
      </c>
      <c r="Q83" s="192" t="str">
        <f t="shared" si="7"/>
        <v/>
      </c>
      <c r="R83" s="193" t="str">
        <f>IF(J83="Duplex",VLOOKUP(M83,'Características dos Cabos MX CH'!$C$12:$I$14,5),(IF(J83="Triplex",VLOOKUP(M83,'Características dos Cabos MX CH'!$C$15:$J$20,5),(IF(J83="Quadruplex",VLOOKUP(M83,'Características dos Cabos MX CH'!$C$21:$K$27,5),(IF(J83="13",VLOOKUP(M83,'Características dos Cabos MX CH'!$C$15:$L$20,5),"")))))))</f>
        <v/>
      </c>
      <c r="S83" s="193" t="str">
        <f>IF(J83="Duplex",VLOOKUP(M83,'Características dos Cabos MX CH'!$C$12:$I$14,6),(IF(J83="Triplex",VLOOKUP(M83,'Características dos Cabos MX CH'!$C$15:$J$20,6),(IF(J83="Quadruplex",VLOOKUP(M83,'Características dos Cabos MX CH'!$C$21:$K$27,6),(IF(J83="13",VLOOKUP(M83,'Características dos Cabos MX CH'!$C$15:$L$20,6),"")))))))</f>
        <v/>
      </c>
      <c r="T83" s="194" t="str">
        <f t="shared" si="29"/>
        <v/>
      </c>
      <c r="U83" s="447" t="str">
        <f>IF(J83="Duplex",VLOOKUP(M83,'Características dos Cabos MX CH'!$C$12:$I$14,2),(IF(J83="Triplex",VLOOKUP(M83,'Características dos Cabos MX CH'!$C$15:$J$20,2),(IF(J83="Quadruplex",VLOOKUP(M83,'Características dos Cabos MX CH'!$C$21:$K$27,2),(IF(J83="13",VLOOKUP(M83,'Características dos Cabos MX CH'!$C$15:$L$20,2),"")))))))</f>
        <v/>
      </c>
      <c r="V83" s="193" t="str">
        <f>IF(J83="Duplex",VLOOKUP(M83,'Características dos Cabos MX CH'!$C$12:$I$14,3),(IF(J83="Triplex",VLOOKUP(M83,'Características dos Cabos MX CH'!$C$15:$J$20,3),(IF(J83="Quadruplex",VLOOKUP(M83,'Características dos Cabos MX CH'!$C$21:$K$27,3),(IF(J83="13",VLOOKUP(M83,'Características dos Cabos MX CH'!$C$15:$L$20,3),"")))))))</f>
        <v/>
      </c>
      <c r="W83" s="195" t="str">
        <f t="shared" si="30"/>
        <v/>
      </c>
      <c r="X83" s="195" t="str">
        <f t="shared" si="31"/>
        <v/>
      </c>
      <c r="Y83" s="196" t="str">
        <f t="shared" si="32"/>
        <v/>
      </c>
      <c r="AA83" s="396">
        <f t="shared" si="35"/>
        <v>0</v>
      </c>
      <c r="AB83" s="396">
        <f t="shared" si="4"/>
        <v>0</v>
      </c>
      <c r="AC83" s="395"/>
      <c r="AE83" s="357" t="str">
        <f t="shared" si="12"/>
        <v/>
      </c>
      <c r="AF83" s="426">
        <f t="shared" si="24"/>
        <v>0</v>
      </c>
      <c r="AG83" s="420"/>
      <c r="AH83" s="420"/>
      <c r="AO83" s="401"/>
      <c r="AP83" s="413">
        <v>340</v>
      </c>
      <c r="AQ83" s="413">
        <v>2.97</v>
      </c>
      <c r="AR83" s="403"/>
    </row>
    <row r="84" spans="1:44" ht="15" customHeight="1">
      <c r="A84" s="696"/>
      <c r="B84" s="698"/>
      <c r="C84" s="568"/>
      <c r="D84" s="368"/>
      <c r="E84" s="372"/>
      <c r="F84" s="357" t="str">
        <f t="shared" si="36" ref="F84:F147">IF(OR(E84="",$G$11=""),"",IF($G$11&gt;0,E84*$G$11*($J$11/100+1)^($J$15-1),E84*$E$11*($J$11/100+1)^($J$15-1)))</f>
        <v/>
      </c>
      <c r="G84" s="384"/>
      <c r="H84" s="190" t="str">
        <f>IF(AND(E84="",G84=""),"",SUM(F84:G85))</f>
        <v/>
      </c>
      <c r="I84" s="191"/>
      <c r="J84" s="222"/>
      <c r="K84" s="222"/>
      <c r="L84" s="197" t="str">
        <f>IF(J84="Duplex",VLOOKUP(M84,'Características dos Cabos M Lot'!$C$12:$I$14,7),(IF(J84="Triplex",VLOOKUP(M84,'Características dos Cabos M Lot'!$C$15:$J$20,8),(IF(J84="Quadruplex",VLOOKUP(M84,'Características dos Cabos M Lot'!$C$21:$K$27,9),(IF(J84="13",VLOOKUP(M84,'Características dos Cabos M Lot'!$C$15:$L$20,10),"")))))))</f>
        <v/>
      </c>
      <c r="M84" s="350" t="str">
        <f t="shared" si="5"/>
        <v/>
      </c>
      <c r="N84" s="377"/>
      <c r="O84" s="192" t="str">
        <f t="shared" si="34"/>
        <v/>
      </c>
      <c r="P84" s="192" t="str">
        <f>IF(O84="","",SUM($O$76:O84)+$Z$76)</f>
        <v/>
      </c>
      <c r="Q84" s="192" t="str">
        <f t="shared" si="7"/>
        <v/>
      </c>
      <c r="R84" s="193" t="str">
        <f>IF(J84="Duplex",VLOOKUP(M84,'Características dos Cabos MX CH'!$C$12:$I$14,5),(IF(J84="Triplex",VLOOKUP(M84,'Características dos Cabos MX CH'!$C$15:$J$20,5),(IF(J84="Quadruplex",VLOOKUP(M84,'Características dos Cabos MX CH'!$C$21:$K$27,5),(IF(J84="13",VLOOKUP(M84,'Características dos Cabos MX CH'!$C$15:$L$20,5),"")))))))</f>
        <v/>
      </c>
      <c r="S84" s="193" t="str">
        <f>IF(J84="Duplex",VLOOKUP(M84,'Características dos Cabos MX CH'!$C$12:$I$14,6),(IF(J84="Triplex",VLOOKUP(M84,'Características dos Cabos MX CH'!$C$15:$J$20,6),(IF(J84="Quadruplex",VLOOKUP(M84,'Características dos Cabos MX CH'!$C$21:$K$27,6),(IF(J84="13",VLOOKUP(M84,'Características dos Cabos MX CH'!$C$15:$L$20,6),"")))))))</f>
        <v/>
      </c>
      <c r="T84" s="194" t="str">
        <f t="shared" si="29"/>
        <v/>
      </c>
      <c r="U84" s="447" t="str">
        <f>IF(J84="Duplex",VLOOKUP(M84,'Características dos Cabos MX CH'!$C$12:$I$14,2),(IF(J84="Triplex",VLOOKUP(M84,'Características dos Cabos MX CH'!$C$15:$J$20,2),(IF(J84="Quadruplex",VLOOKUP(M84,'Características dos Cabos MX CH'!$C$21:$K$27,2),(IF(J84="13",VLOOKUP(M84,'Características dos Cabos MX CH'!$C$15:$L$20,2),"")))))))</f>
        <v/>
      </c>
      <c r="V84" s="193" t="str">
        <f>IF(J84="Duplex",VLOOKUP(M84,'Características dos Cabos MX CH'!$C$12:$I$14,3),(IF(J84="Triplex",VLOOKUP(M84,'Características dos Cabos MX CH'!$C$15:$J$20,3),(IF(J84="Quadruplex",VLOOKUP(M84,'Características dos Cabos MX CH'!$C$21:$K$27,3),(IF(J84="13",VLOOKUP(M84,'Características dos Cabos MX CH'!$C$15:$L$20,3),"")))))))</f>
        <v/>
      </c>
      <c r="W84" s="195" t="str">
        <f t="shared" si="30"/>
        <v/>
      </c>
      <c r="X84" s="195" t="str">
        <f t="shared" si="31"/>
        <v/>
      </c>
      <c r="Y84" s="196" t="str">
        <f t="shared" si="32"/>
        <v/>
      </c>
      <c r="AA84" s="396">
        <f t="shared" si="35"/>
        <v>0</v>
      </c>
      <c r="AB84" s="396">
        <f t="shared" si="4"/>
        <v>0</v>
      </c>
      <c r="AC84" s="395"/>
      <c r="AE84" s="357" t="str">
        <f t="shared" si="12"/>
        <v/>
      </c>
      <c r="AF84" s="426">
        <f t="shared" si="24"/>
        <v>0</v>
      </c>
      <c r="AG84" s="420"/>
      <c r="AH84" s="420"/>
      <c r="AO84" s="401"/>
      <c r="AP84" s="413">
        <v>350</v>
      </c>
      <c r="AQ84" s="413">
        <v>3.02</v>
      </c>
      <c r="AR84" s="403"/>
    </row>
    <row r="85" spans="1:44" ht="15" customHeight="1" thickBot="1">
      <c r="A85" s="696"/>
      <c r="B85" s="699"/>
      <c r="C85" s="570"/>
      <c r="D85" s="370"/>
      <c r="E85" s="369"/>
      <c r="F85" s="461" t="str">
        <f t="shared" si="36"/>
        <v/>
      </c>
      <c r="G85" s="385"/>
      <c r="H85" s="200" t="str">
        <f>IF(AND(E85="",G85=""),"",SUM(F85:G85))</f>
        <v/>
      </c>
      <c r="I85" s="201"/>
      <c r="J85" s="223"/>
      <c r="K85" s="223"/>
      <c r="L85" s="202" t="str">
        <f>IF(J85="Duplex",VLOOKUP(M85,'Características dos Cabos M Lot'!$C$12:$I$14,7),(IF(J85="Triplex",VLOOKUP(M85,'Características dos Cabos M Lot'!$C$15:$J$20,8),(IF(J85="Quadruplex",VLOOKUP(M85,'Características dos Cabos M Lot'!$C$21:$K$27,9),(IF(J85="13",VLOOKUP(M85,'Características dos Cabos M Lot'!$C$15:$L$20,10),"")))))))</f>
        <v/>
      </c>
      <c r="M85" s="353" t="str">
        <f t="shared" si="5"/>
        <v/>
      </c>
      <c r="N85" s="378"/>
      <c r="O85" s="203" t="str">
        <f t="shared" si="34"/>
        <v/>
      </c>
      <c r="P85" s="192" t="str">
        <f>IF(O85="","",SUM($O$76:O85)+$Z$76)</f>
        <v/>
      </c>
      <c r="Q85" s="203" t="str">
        <f t="shared" si="7"/>
        <v/>
      </c>
      <c r="R85" s="204" t="str">
        <f>IF(J85="Duplex",VLOOKUP(M85,'Características dos Cabos MX CH'!$C$12:$I$14,5),(IF(J85="Triplex",VLOOKUP(M85,'Características dos Cabos MX CH'!$C$15:$J$20,5),(IF(J85="Quadruplex",VLOOKUP(M85,'Características dos Cabos MX CH'!$C$21:$K$27,5),(IF(J85="13",VLOOKUP(M85,'Características dos Cabos MX CH'!$C$15:$L$20,5),"")))))))</f>
        <v/>
      </c>
      <c r="S85" s="204" t="str">
        <f>IF(J85="Duplex",VLOOKUP(M85,'Características dos Cabos MX CH'!$C$12:$I$14,6),(IF(J85="Triplex",VLOOKUP(M85,'Características dos Cabos MX CH'!$C$15:$J$20,6),(IF(J85="Quadruplex",VLOOKUP(M85,'Características dos Cabos MX CH'!$C$21:$K$27,6),(IF(J85="13",VLOOKUP(M85,'Características dos Cabos MX CH'!$C$15:$L$20,6),"")))))))</f>
        <v/>
      </c>
      <c r="T85" s="205" t="str">
        <f t="shared" si="29"/>
        <v/>
      </c>
      <c r="U85" s="448" t="str">
        <f>IF(J85="Duplex",VLOOKUP(M85,'Características dos Cabos MX CH'!$C$12:$I$14,2),(IF(J85="Triplex",VLOOKUP(M85,'Características dos Cabos MX CH'!$C$15:$J$20,2),(IF(J85="Quadruplex",VLOOKUP(M85,'Características dos Cabos MX CH'!$C$21:$K$27,2),(IF(J85="13",VLOOKUP(M85,'Características dos Cabos MX CH'!$C$15:$L$20,2),"")))))))</f>
        <v/>
      </c>
      <c r="V85" s="204" t="str">
        <f>IF(J85="Duplex",VLOOKUP(M85,'Características dos Cabos MX CH'!$C$12:$I$14,3),(IF(J85="Triplex",VLOOKUP(M85,'Características dos Cabos MX CH'!$C$15:$J$20,3),(IF(J85="Quadruplex",VLOOKUP(M85,'Características dos Cabos MX CH'!$C$21:$K$27,3),(IF(J85="13",VLOOKUP(M85,'Características dos Cabos MX CH'!$C$15:$L$20,3),"")))))))</f>
        <v/>
      </c>
      <c r="W85" s="206" t="str">
        <f t="shared" si="30"/>
        <v/>
      </c>
      <c r="X85" s="206" t="str">
        <f t="shared" si="31"/>
        <v/>
      </c>
      <c r="Y85" s="207" t="str">
        <f t="shared" si="32"/>
        <v/>
      </c>
      <c r="AA85" s="396">
        <f t="shared" si="35"/>
        <v>0</v>
      </c>
      <c r="AB85" s="396">
        <f t="shared" si="4"/>
        <v>0</v>
      </c>
      <c r="AC85" s="395"/>
      <c r="AE85" s="357" t="str">
        <f t="shared" si="37" ref="AE85:AE148">IF(OR(E85="",$G$11=""),"",IF($G$11&gt;0,E85*$G$11*($J$11/100+1)^($J$15-1),E85*$E$11*($J$11/100+1)^($J$15-1)))</f>
        <v/>
      </c>
      <c r="AF85" s="426">
        <f t="shared" si="24"/>
        <v>0</v>
      </c>
      <c r="AG85" s="420"/>
      <c r="AH85" s="420"/>
      <c r="AO85" s="401"/>
      <c r="AP85" s="413">
        <v>360</v>
      </c>
      <c r="AQ85" s="413">
        <v>3.07</v>
      </c>
      <c r="AR85" s="403"/>
    </row>
    <row r="86" spans="1:44" ht="15" customHeight="1" thickTop="1">
      <c r="A86" s="696"/>
      <c r="B86" s="700" t="str">
        <f>CONCATENATE("Ramal 5 - Derivando no ponto ",C86)</f>
        <v xml:space="preserve">Ramal 5 - Derivando no ponto </v>
      </c>
      <c r="C86" s="571"/>
      <c r="D86" s="371"/>
      <c r="E86" s="374"/>
      <c r="F86" s="459" t="str">
        <f t="shared" si="36"/>
        <v/>
      </c>
      <c r="G86" s="386"/>
      <c r="H86" s="209" t="str">
        <f>IF(AND(E86="",G86=""),"",SUM(F86:G95))</f>
        <v/>
      </c>
      <c r="I86" s="210"/>
      <c r="J86" s="224"/>
      <c r="K86" s="224"/>
      <c r="L86" s="211" t="str">
        <f>IF(J86="Duplex",VLOOKUP(M86,'Características dos Cabos M Lot'!$C$12:$I$14,7),(IF(J86="Triplex",VLOOKUP(M86,'Características dos Cabos M Lot'!$C$15:$J$20,8),(IF(J86="Quadruplex",VLOOKUP(M86,'Características dos Cabos M Lot'!$C$21:$K$27,9),(IF(J86="13",VLOOKUP(M86,'Características dos Cabos M Lot'!$C$15:$L$20,10),"")))))))</f>
        <v/>
      </c>
      <c r="M86" s="354" t="str">
        <f t="shared" si="5"/>
        <v/>
      </c>
      <c r="N86" s="379"/>
      <c r="O86" s="212" t="str">
        <f t="shared" si="34"/>
        <v/>
      </c>
      <c r="P86" s="217" t="str">
        <f>IF(O86="","",O86+VLOOKUP(C86,$D$20:$Q$85,13,FALSE))</f>
        <v/>
      </c>
      <c r="Q86" s="212" t="str">
        <f t="shared" si="7"/>
        <v/>
      </c>
      <c r="R86" s="213" t="str">
        <f>IF(J86="Duplex",VLOOKUP(M86,'Características dos Cabos MX CH'!$C$12:$I$14,5),(IF(J86="Triplex",VLOOKUP(M86,'Características dos Cabos MX CH'!$C$15:$J$20,5),(IF(J86="Quadruplex",VLOOKUP(M86,'Características dos Cabos MX CH'!$C$21:$K$27,5),(IF(J86="13",VLOOKUP(M86,'Características dos Cabos MX CH'!$C$15:$L$20,5),"")))))))</f>
        <v/>
      </c>
      <c r="S86" s="213" t="str">
        <f>IF(J86="Duplex",VLOOKUP(M86,'Características dos Cabos MX CH'!$C$12:$I$14,6),(IF(J86="Triplex",VLOOKUP(M86,'Características dos Cabos MX CH'!$C$15:$J$20,6),(IF(J86="Quadruplex",VLOOKUP(M86,'Características dos Cabos MX CH'!$C$21:$K$27,6),(IF(J86="13",VLOOKUP(M86,'Características dos Cabos MX CH'!$C$15:$L$20,6),"")))))))</f>
        <v/>
      </c>
      <c r="T86" s="214" t="str">
        <f t="shared" si="29"/>
        <v/>
      </c>
      <c r="U86" s="450" t="str">
        <f>IF(J86="Duplex",VLOOKUP(M86,'Características dos Cabos MX CH'!$C$12:$I$14,2),(IF(J86="Triplex",VLOOKUP(M86,'Características dos Cabos MX CH'!$C$15:$J$20,2),(IF(J86="Quadruplex",VLOOKUP(M86,'Características dos Cabos MX CH'!$C$21:$K$27,2),(IF(J86="13",VLOOKUP(M86,'Características dos Cabos MX CH'!$C$15:$L$20,2),"")))))))</f>
        <v/>
      </c>
      <c r="V86" s="213" t="str">
        <f>IF(J86="Duplex",VLOOKUP(M86,'Características dos Cabos MX CH'!$C$12:$I$14,3),(IF(J86="Triplex",VLOOKUP(M86,'Características dos Cabos MX CH'!$C$15:$J$20,3),(IF(J86="Quadruplex",VLOOKUP(M86,'Características dos Cabos MX CH'!$C$21:$K$27,3),(IF(J86="13",VLOOKUP(M86,'Características dos Cabos MX CH'!$C$15:$L$20,3),"")))))))</f>
        <v/>
      </c>
      <c r="W86" s="215" t="str">
        <f t="shared" si="30"/>
        <v/>
      </c>
      <c r="X86" s="215" t="str">
        <f t="shared" si="31"/>
        <v/>
      </c>
      <c r="Y86" s="216" t="str">
        <f t="shared" si="32"/>
        <v/>
      </c>
      <c r="Z86" s="393" t="str">
        <f>IF(O86="","",VLOOKUP(C86,$D$20:$P$85,13,FALSE))</f>
        <v/>
      </c>
      <c r="AA86" s="396">
        <f t="shared" si="35"/>
        <v>0</v>
      </c>
      <c r="AB86" s="396">
        <f t="shared" si="4"/>
        <v>0</v>
      </c>
      <c r="AC86" s="395"/>
      <c r="AE86" s="357" t="str">
        <f t="shared" si="37"/>
        <v/>
      </c>
      <c r="AF86" s="426">
        <f t="shared" si="24"/>
        <v>0</v>
      </c>
      <c r="AG86" s="420"/>
      <c r="AH86" s="420"/>
      <c r="AO86" s="401"/>
      <c r="AP86" s="413">
        <v>370</v>
      </c>
      <c r="AQ86" s="413">
        <v>3.12</v>
      </c>
      <c r="AR86" s="403"/>
    </row>
    <row r="87" spans="1:44" ht="15" customHeight="1">
      <c r="A87" s="696"/>
      <c r="B87" s="698"/>
      <c r="C87" s="568"/>
      <c r="D87" s="368"/>
      <c r="E87" s="372"/>
      <c r="F87" s="357" t="str">
        <f t="shared" si="36"/>
        <v/>
      </c>
      <c r="G87" s="384"/>
      <c r="H87" s="190" t="str">
        <f>IF(AND(E87="",G87=""),"",SUM(F87:G95))</f>
        <v/>
      </c>
      <c r="I87" s="191"/>
      <c r="J87" s="222"/>
      <c r="K87" s="222"/>
      <c r="L87" s="197" t="str">
        <f>IF(J87="Duplex",VLOOKUP(M87,'Características dos Cabos M Lot'!$C$12:$I$14,7),(IF(J87="Triplex",VLOOKUP(M87,'Características dos Cabos M Lot'!$C$15:$J$20,8),(IF(J87="Quadruplex",VLOOKUP(M87,'Características dos Cabos M Lot'!$C$21:$K$27,9),(IF(J87="13",VLOOKUP(M87,'Características dos Cabos M Lot'!$C$15:$L$20,10),"")))))))</f>
        <v/>
      </c>
      <c r="M87" s="350" t="str">
        <f t="shared" si="38" ref="M87:M150">IF(K87=10,"a",IF(K87=16,"b",IF(K87=25,"c",IF(K87=35,"d",IF(K87=50,"e",(IF(K87=70,"f",(IF(K87=120,"g","")))))))))</f>
        <v/>
      </c>
      <c r="N87" s="377"/>
      <c r="O87" s="192" t="str">
        <f t="shared" si="34"/>
        <v/>
      </c>
      <c r="P87" s="192" t="str">
        <f>IF(O87="","",SUM($O$86:O87)+$Z$86)</f>
        <v/>
      </c>
      <c r="Q87" s="192" t="str">
        <f t="shared" si="39" ref="Q87:Q150">IF(H87="","",IF(J87="Quadruplex",H87*1000/($D$13*SQRT(3)),IF(J87="Triplex",H87*1000*SQRT(3)/($D$13*2),IF(J87="Duplex",H87*1000*SQRT(3)/$D$13,IF(J87="13",H87*1000/$D$15,IF(J87="12",H87*1000*2/$D$15,"erro"))))))</f>
        <v/>
      </c>
      <c r="R87" s="193" t="str">
        <f>IF(J87="Duplex",VLOOKUP(M87,'Características dos Cabos MX CH'!$C$12:$I$14,5),(IF(J87="Triplex",VLOOKUP(M87,'Características dos Cabos MX CH'!$C$15:$J$20,5),(IF(J87="Quadruplex",VLOOKUP(M87,'Características dos Cabos MX CH'!$C$21:$K$27,5),(IF(J87="13",VLOOKUP(M87,'Características dos Cabos MX CH'!$C$15:$L$20,5),"")))))))</f>
        <v/>
      </c>
      <c r="S87" s="193" t="str">
        <f>IF(J87="Duplex",VLOOKUP(M87,'Características dos Cabos MX CH'!$C$12:$I$14,6),(IF(J87="Triplex",VLOOKUP(M87,'Características dos Cabos MX CH'!$C$15:$J$20,6),(IF(J87="Quadruplex",VLOOKUP(M87,'Características dos Cabos MX CH'!$C$21:$K$27,6),(IF(J87="13",VLOOKUP(M87,'Características dos Cabos MX CH'!$C$15:$L$20,6),"")))))))</f>
        <v/>
      </c>
      <c r="T87" s="194" t="str">
        <f t="shared" si="29"/>
        <v/>
      </c>
      <c r="U87" s="447" t="str">
        <f>IF(J87="Duplex",VLOOKUP(M87,'Características dos Cabos MX CH'!$C$12:$I$14,2),(IF(J87="Triplex",VLOOKUP(M87,'Características dos Cabos MX CH'!$C$15:$J$20,2),(IF(J87="Quadruplex",VLOOKUP(M87,'Características dos Cabos MX CH'!$C$21:$K$27,2),(IF(J87="13",VLOOKUP(M87,'Características dos Cabos MX CH'!$C$15:$L$20,2),"")))))))</f>
        <v/>
      </c>
      <c r="V87" s="193" t="str">
        <f>IF(J87="Duplex",VLOOKUP(M87,'Características dos Cabos MX CH'!$C$12:$I$14,3),(IF(J87="Triplex",VLOOKUP(M87,'Características dos Cabos MX CH'!$C$15:$J$20,3),(IF(J87="Quadruplex",VLOOKUP(M87,'Características dos Cabos MX CH'!$C$21:$K$27,3),(IF(J87="13",VLOOKUP(M87,'Características dos Cabos MX CH'!$C$15:$L$20,3),"")))))))</f>
        <v/>
      </c>
      <c r="W87" s="195" t="str">
        <f t="shared" si="30"/>
        <v/>
      </c>
      <c r="X87" s="195" t="str">
        <f t="shared" si="31"/>
        <v/>
      </c>
      <c r="Y87" s="196" t="str">
        <f t="shared" si="32"/>
        <v/>
      </c>
      <c r="AA87" s="396">
        <f t="shared" si="35"/>
        <v>0</v>
      </c>
      <c r="AB87" s="396">
        <f t="shared" si="40" ref="AB87:AB125">K87</f>
        <v>0</v>
      </c>
      <c r="AC87" s="395"/>
      <c r="AE87" s="357" t="str">
        <f t="shared" si="37"/>
        <v/>
      </c>
      <c r="AF87" s="426">
        <f t="shared" si="24"/>
        <v>0</v>
      </c>
      <c r="AG87" s="420"/>
      <c r="AH87" s="420"/>
      <c r="AO87" s="401"/>
      <c r="AP87" s="413">
        <v>380</v>
      </c>
      <c r="AQ87" s="413">
        <v>3.17</v>
      </c>
      <c r="AR87" s="403"/>
    </row>
    <row r="88" spans="1:44" ht="15" customHeight="1">
      <c r="A88" s="696"/>
      <c r="B88" s="698"/>
      <c r="C88" s="568"/>
      <c r="D88" s="368"/>
      <c r="E88" s="372"/>
      <c r="F88" s="357" t="str">
        <f t="shared" si="36"/>
        <v/>
      </c>
      <c r="G88" s="384"/>
      <c r="H88" s="190" t="str">
        <f>IF(AND(E88="",G88=""),"",SUM(F88:G95))</f>
        <v/>
      </c>
      <c r="I88" s="191"/>
      <c r="J88" s="222"/>
      <c r="K88" s="222"/>
      <c r="L88" s="197" t="str">
        <f>IF(J88="Duplex",VLOOKUP(M88,'Características dos Cabos M Lot'!$C$12:$I$14,7),(IF(J88="Triplex",VLOOKUP(M88,'Características dos Cabos M Lot'!$C$15:$J$20,8),(IF(J88="Quadruplex",VLOOKUP(M88,'Características dos Cabos M Lot'!$C$21:$K$27,9),(IF(J88="13",VLOOKUP(M88,'Características dos Cabos M Lot'!$C$15:$L$20,10),"")))))))</f>
        <v/>
      </c>
      <c r="M88" s="350" t="str">
        <f t="shared" si="38"/>
        <v/>
      </c>
      <c r="N88" s="377"/>
      <c r="O88" s="192" t="str">
        <f t="shared" si="34"/>
        <v/>
      </c>
      <c r="P88" s="192" t="str">
        <f>IF(O88="","",SUM($O$86:O88)+$Z$86)</f>
        <v/>
      </c>
      <c r="Q88" s="192" t="str">
        <f t="shared" si="39"/>
        <v/>
      </c>
      <c r="R88" s="193" t="str">
        <f>IF(J88="Duplex",VLOOKUP(M88,'Características dos Cabos MX CH'!$C$12:$I$14,5),(IF(J88="Triplex",VLOOKUP(M88,'Características dos Cabos MX CH'!$C$15:$J$20,5),(IF(J88="Quadruplex",VLOOKUP(M88,'Características dos Cabos MX CH'!$C$21:$K$27,5),(IF(J88="13",VLOOKUP(M88,'Características dos Cabos MX CH'!$C$15:$L$20,5),"")))))))</f>
        <v/>
      </c>
      <c r="S88" s="193" t="str">
        <f>IF(J88="Duplex",VLOOKUP(M88,'Características dos Cabos MX CH'!$C$12:$I$14,6),(IF(J88="Triplex",VLOOKUP(M88,'Características dos Cabos MX CH'!$C$15:$J$20,6),(IF(J88="Quadruplex",VLOOKUP(M88,'Características dos Cabos MX CH'!$C$21:$K$27,6),(IF(J88="13",VLOOKUP(M88,'Características dos Cabos MX CH'!$C$15:$L$20,6),"")))))))</f>
        <v/>
      </c>
      <c r="T88" s="194" t="str">
        <f t="shared" si="29"/>
        <v/>
      </c>
      <c r="U88" s="447" t="str">
        <f>IF(J88="Duplex",VLOOKUP(M88,'Características dos Cabos MX CH'!$C$12:$I$14,2),(IF(J88="Triplex",VLOOKUP(M88,'Características dos Cabos MX CH'!$C$15:$J$20,2),(IF(J88="Quadruplex",VLOOKUP(M88,'Características dos Cabos MX CH'!$C$21:$K$27,2),(IF(J88="13",VLOOKUP(M88,'Características dos Cabos MX CH'!$C$15:$L$20,2),"")))))))</f>
        <v/>
      </c>
      <c r="V88" s="193" t="str">
        <f>IF(J88="Duplex",VLOOKUP(M88,'Características dos Cabos MX CH'!$C$12:$I$14,3),(IF(J88="Triplex",VLOOKUP(M88,'Características dos Cabos MX CH'!$C$15:$J$20,3),(IF(J88="Quadruplex",VLOOKUP(M88,'Características dos Cabos MX CH'!$C$21:$K$27,3),(IF(J88="13",VLOOKUP(M88,'Características dos Cabos MX CH'!$C$15:$L$20,3),"")))))))</f>
        <v/>
      </c>
      <c r="W88" s="195" t="str">
        <f t="shared" si="30"/>
        <v/>
      </c>
      <c r="X88" s="195" t="str">
        <f t="shared" si="31"/>
        <v/>
      </c>
      <c r="Y88" s="196" t="str">
        <f t="shared" si="32"/>
        <v/>
      </c>
      <c r="AA88" s="396">
        <f t="shared" si="35"/>
        <v>0</v>
      </c>
      <c r="AB88" s="396">
        <f t="shared" si="40"/>
        <v>0</v>
      </c>
      <c r="AC88" s="395"/>
      <c r="AE88" s="357" t="str">
        <f t="shared" si="37"/>
        <v/>
      </c>
      <c r="AF88" s="426">
        <f t="shared" si="24"/>
        <v>0</v>
      </c>
      <c r="AG88" s="420"/>
      <c r="AH88" s="420"/>
      <c r="AO88" s="401"/>
      <c r="AP88" s="413">
        <v>390</v>
      </c>
      <c r="AQ88" s="413">
        <v>3.22</v>
      </c>
      <c r="AR88" s="403"/>
    </row>
    <row r="89" spans="1:44" ht="15" customHeight="1">
      <c r="A89" s="696"/>
      <c r="B89" s="698"/>
      <c r="C89" s="568"/>
      <c r="D89" s="368"/>
      <c r="E89" s="372"/>
      <c r="F89" s="357" t="str">
        <f t="shared" si="36"/>
        <v/>
      </c>
      <c r="G89" s="384"/>
      <c r="H89" s="190" t="str">
        <f>IF(AND(E89="",G89=""),"",SUM(F89:G95))</f>
        <v/>
      </c>
      <c r="I89" s="191"/>
      <c r="J89" s="222"/>
      <c r="K89" s="222"/>
      <c r="L89" s="197" t="str">
        <f>IF(J89="Duplex",VLOOKUP(M89,'Características dos Cabos M Lot'!$C$12:$I$14,7),(IF(J89="Triplex",VLOOKUP(M89,'Características dos Cabos M Lot'!$C$15:$J$20,8),(IF(J89="Quadruplex",VLOOKUP(M89,'Características dos Cabos M Lot'!$C$21:$K$27,9),(IF(J89="13",VLOOKUP(M89,'Características dos Cabos M Lot'!$C$15:$L$20,10),"")))))))</f>
        <v/>
      </c>
      <c r="M89" s="350" t="str">
        <f t="shared" si="38"/>
        <v/>
      </c>
      <c r="N89" s="377"/>
      <c r="O89" s="192" t="str">
        <f t="shared" si="34"/>
        <v/>
      </c>
      <c r="P89" s="192" t="str">
        <f>IF(O89="","",SUM($O$86:O89)+$Z$86)</f>
        <v/>
      </c>
      <c r="Q89" s="192" t="str">
        <f t="shared" si="39"/>
        <v/>
      </c>
      <c r="R89" s="193" t="str">
        <f>IF(J89="Duplex",VLOOKUP(M89,'Características dos Cabos MX CH'!$C$12:$I$14,5),(IF(J89="Triplex",VLOOKUP(M89,'Características dos Cabos MX CH'!$C$15:$J$20,5),(IF(J89="Quadruplex",VLOOKUP(M89,'Características dos Cabos MX CH'!$C$21:$K$27,5),(IF(J89="13",VLOOKUP(M89,'Características dos Cabos MX CH'!$C$15:$L$20,5),"")))))))</f>
        <v/>
      </c>
      <c r="S89" s="193" t="str">
        <f>IF(J89="Duplex",VLOOKUP(M89,'Características dos Cabos MX CH'!$C$12:$I$14,6),(IF(J89="Triplex",VLOOKUP(M89,'Características dos Cabos MX CH'!$C$15:$J$20,6),(IF(J89="Quadruplex",VLOOKUP(M89,'Características dos Cabos MX CH'!$C$21:$K$27,6),(IF(J89="13",VLOOKUP(M89,'Características dos Cabos MX CH'!$C$15:$L$20,6),"")))))))</f>
        <v/>
      </c>
      <c r="T89" s="194" t="str">
        <f t="shared" si="29"/>
        <v/>
      </c>
      <c r="U89" s="447" t="str">
        <f>IF(J89="Duplex",VLOOKUP(M89,'Características dos Cabos MX CH'!$C$12:$I$14,2),(IF(J89="Triplex",VLOOKUP(M89,'Características dos Cabos MX CH'!$C$15:$J$20,2),(IF(J89="Quadruplex",VLOOKUP(M89,'Características dos Cabos MX CH'!$C$21:$K$27,2),(IF(J89="13",VLOOKUP(M89,'Características dos Cabos MX CH'!$C$15:$L$20,2),"")))))))</f>
        <v/>
      </c>
      <c r="V89" s="193" t="str">
        <f>IF(J89="Duplex",VLOOKUP(M89,'Características dos Cabos MX CH'!$C$12:$I$14,3),(IF(J89="Triplex",VLOOKUP(M89,'Características dos Cabos MX CH'!$C$15:$J$20,3),(IF(J89="Quadruplex",VLOOKUP(M89,'Características dos Cabos MX CH'!$C$21:$K$27,3),(IF(J89="13",VLOOKUP(M89,'Características dos Cabos MX CH'!$C$15:$L$20,3),"")))))))</f>
        <v/>
      </c>
      <c r="W89" s="195" t="str">
        <f t="shared" si="30"/>
        <v/>
      </c>
      <c r="X89" s="195" t="str">
        <f t="shared" si="31"/>
        <v/>
      </c>
      <c r="Y89" s="196" t="str">
        <f t="shared" si="32"/>
        <v/>
      </c>
      <c r="AA89" s="396">
        <f t="shared" si="35"/>
        <v>0</v>
      </c>
      <c r="AB89" s="396">
        <f t="shared" si="40"/>
        <v>0</v>
      </c>
      <c r="AC89" s="395"/>
      <c r="AE89" s="357" t="str">
        <f t="shared" si="37"/>
        <v/>
      </c>
      <c r="AF89" s="426">
        <f t="shared" si="24"/>
        <v>0</v>
      </c>
      <c r="AO89" s="401"/>
      <c r="AP89" s="413">
        <v>400</v>
      </c>
      <c r="AQ89" s="413">
        <v>3.27</v>
      </c>
      <c r="AR89" s="403"/>
    </row>
    <row r="90" spans="1:44" ht="15" customHeight="1">
      <c r="A90" s="696"/>
      <c r="B90" s="698"/>
      <c r="C90" s="568"/>
      <c r="D90" s="368"/>
      <c r="E90" s="372"/>
      <c r="F90" s="357" t="str">
        <f t="shared" si="36"/>
        <v/>
      </c>
      <c r="G90" s="384"/>
      <c r="H90" s="190" t="str">
        <f>IF(AND(E90="",G90=""),"",SUM(F90:G95))</f>
        <v/>
      </c>
      <c r="I90" s="191"/>
      <c r="J90" s="222"/>
      <c r="K90" s="222"/>
      <c r="L90" s="197" t="str">
        <f>IF(J90="Duplex",VLOOKUP(M90,'Características dos Cabos M Lot'!$C$12:$I$14,7),(IF(J90="Triplex",VLOOKUP(M90,'Características dos Cabos M Lot'!$C$15:$J$20,8),(IF(J90="Quadruplex",VLOOKUP(M90,'Características dos Cabos M Lot'!$C$21:$K$27,9),(IF(J90="13",VLOOKUP(M90,'Características dos Cabos M Lot'!$C$15:$L$20,10),"")))))))</f>
        <v/>
      </c>
      <c r="M90" s="350" t="str">
        <f t="shared" si="38"/>
        <v/>
      </c>
      <c r="N90" s="377"/>
      <c r="O90" s="192" t="str">
        <f t="shared" si="34"/>
        <v/>
      </c>
      <c r="P90" s="192" t="str">
        <f>IF(O90="","",SUM($O$86:O90)+$Z$86)</f>
        <v/>
      </c>
      <c r="Q90" s="192" t="str">
        <f t="shared" si="39"/>
        <v/>
      </c>
      <c r="R90" s="193" t="str">
        <f>IF(J90="Duplex",VLOOKUP(M90,'Características dos Cabos MX CH'!$C$12:$I$14,5),(IF(J90="Triplex",VLOOKUP(M90,'Características dos Cabos MX CH'!$C$15:$J$20,5),(IF(J90="Quadruplex",VLOOKUP(M90,'Características dos Cabos MX CH'!$C$21:$K$27,5),(IF(J90="13",VLOOKUP(M90,'Características dos Cabos MX CH'!$C$15:$L$20,5),"")))))))</f>
        <v/>
      </c>
      <c r="S90" s="193" t="str">
        <f>IF(J90="Duplex",VLOOKUP(M90,'Características dos Cabos MX CH'!$C$12:$I$14,6),(IF(J90="Triplex",VLOOKUP(M90,'Características dos Cabos MX CH'!$C$15:$J$20,6),(IF(J90="Quadruplex",VLOOKUP(M90,'Características dos Cabos MX CH'!$C$21:$K$27,6),(IF(J90="13",VLOOKUP(M90,'Características dos Cabos MX CH'!$C$15:$L$20,6),"")))))))</f>
        <v/>
      </c>
      <c r="T90" s="194" t="str">
        <f t="shared" si="29"/>
        <v/>
      </c>
      <c r="U90" s="447" t="str">
        <f>IF(J90="Duplex",VLOOKUP(M90,'Características dos Cabos MX CH'!$C$12:$I$14,2),(IF(J90="Triplex",VLOOKUP(M90,'Características dos Cabos MX CH'!$C$15:$J$20,2),(IF(J90="Quadruplex",VLOOKUP(M90,'Características dos Cabos MX CH'!$C$21:$K$27,2),(IF(J90="13",VLOOKUP(M90,'Características dos Cabos MX CH'!$C$15:$L$20,2),"")))))))</f>
        <v/>
      </c>
      <c r="V90" s="193" t="str">
        <f>IF(J90="Duplex",VLOOKUP(M90,'Características dos Cabos MX CH'!$C$12:$I$14,3),(IF(J90="Triplex",VLOOKUP(M90,'Características dos Cabos MX CH'!$C$15:$J$20,3),(IF(J90="Quadruplex",VLOOKUP(M90,'Características dos Cabos MX CH'!$C$21:$K$27,3),(IF(J90="13",VLOOKUP(M90,'Características dos Cabos MX CH'!$C$15:$L$20,3),"")))))))</f>
        <v/>
      </c>
      <c r="W90" s="195" t="str">
        <f t="shared" si="30"/>
        <v/>
      </c>
      <c r="X90" s="195" t="str">
        <f t="shared" si="31"/>
        <v/>
      </c>
      <c r="Y90" s="196" t="str">
        <f t="shared" si="32"/>
        <v/>
      </c>
      <c r="AA90" s="396">
        <f t="shared" si="35"/>
        <v>0</v>
      </c>
      <c r="AB90" s="396">
        <f t="shared" si="40"/>
        <v>0</v>
      </c>
      <c r="AC90" s="395"/>
      <c r="AE90" s="357" t="str">
        <f t="shared" si="37"/>
        <v/>
      </c>
      <c r="AF90" s="426">
        <f t="shared" si="24"/>
        <v>0</v>
      </c>
      <c r="AO90" s="401"/>
      <c r="AP90" s="413">
        <v>410</v>
      </c>
      <c r="AQ90" s="413">
        <v>3.32</v>
      </c>
      <c r="AR90" s="403"/>
    </row>
    <row r="91" spans="1:44" ht="15" customHeight="1">
      <c r="A91" s="696"/>
      <c r="B91" s="698"/>
      <c r="C91" s="568"/>
      <c r="D91" s="368"/>
      <c r="E91" s="372"/>
      <c r="F91" s="357" t="str">
        <f t="shared" si="36"/>
        <v/>
      </c>
      <c r="G91" s="384"/>
      <c r="H91" s="190" t="str">
        <f>IF(AND(E91="",G91=""),"",SUM(F91:G95))</f>
        <v/>
      </c>
      <c r="I91" s="191"/>
      <c r="J91" s="222"/>
      <c r="K91" s="222"/>
      <c r="L91" s="197" t="str">
        <f>IF(J91="Duplex",VLOOKUP(M91,'Características dos Cabos M Lot'!$C$12:$I$14,7),(IF(J91="Triplex",VLOOKUP(M91,'Características dos Cabos M Lot'!$C$15:$J$20,8),(IF(J91="Quadruplex",VLOOKUP(M91,'Características dos Cabos M Lot'!$C$21:$K$27,9),(IF(J91="13",VLOOKUP(M91,'Características dos Cabos M Lot'!$C$15:$L$20,10),"")))))))</f>
        <v/>
      </c>
      <c r="M91" s="350" t="str">
        <f t="shared" si="38"/>
        <v/>
      </c>
      <c r="N91" s="377"/>
      <c r="O91" s="192" t="str">
        <f t="shared" si="34"/>
        <v/>
      </c>
      <c r="P91" s="192" t="str">
        <f>IF(O91="","",SUM($O$86:O91)+$Z$86)</f>
        <v/>
      </c>
      <c r="Q91" s="192" t="str">
        <f t="shared" si="39"/>
        <v/>
      </c>
      <c r="R91" s="193" t="str">
        <f>IF(J91="Duplex",VLOOKUP(M91,'Características dos Cabos MX CH'!$C$12:$I$14,5),(IF(J91="Triplex",VLOOKUP(M91,'Características dos Cabos MX CH'!$C$15:$J$20,5),(IF(J91="Quadruplex",VLOOKUP(M91,'Características dos Cabos MX CH'!$C$21:$K$27,5),(IF(J91="13",VLOOKUP(M91,'Características dos Cabos MX CH'!$C$15:$L$20,5),"")))))))</f>
        <v/>
      </c>
      <c r="S91" s="193" t="str">
        <f>IF(J91="Duplex",VLOOKUP(M91,'Características dos Cabos MX CH'!$C$12:$I$14,6),(IF(J91="Triplex",VLOOKUP(M91,'Características dos Cabos MX CH'!$C$15:$J$20,6),(IF(J91="Quadruplex",VLOOKUP(M91,'Características dos Cabos MX CH'!$C$21:$K$27,6),(IF(J91="13",VLOOKUP(M91,'Características dos Cabos MX CH'!$C$15:$L$20,6),"")))))))</f>
        <v/>
      </c>
      <c r="T91" s="194" t="str">
        <f t="shared" si="29"/>
        <v/>
      </c>
      <c r="U91" s="447" t="str">
        <f>IF(J91="Duplex",VLOOKUP(M91,'Características dos Cabos MX CH'!$C$12:$I$14,2),(IF(J91="Triplex",VLOOKUP(M91,'Características dos Cabos MX CH'!$C$15:$J$20,2),(IF(J91="Quadruplex",VLOOKUP(M91,'Características dos Cabos MX CH'!$C$21:$K$27,2),(IF(J91="13",VLOOKUP(M91,'Características dos Cabos MX CH'!$C$15:$L$20,2),"")))))))</f>
        <v/>
      </c>
      <c r="V91" s="193" t="str">
        <f>IF(J91="Duplex",VLOOKUP(M91,'Características dos Cabos MX CH'!$C$12:$I$14,3),(IF(J91="Triplex",VLOOKUP(M91,'Características dos Cabos MX CH'!$C$15:$J$20,3),(IF(J91="Quadruplex",VLOOKUP(M91,'Características dos Cabos MX CH'!$C$21:$K$27,3),(IF(J91="13",VLOOKUP(M91,'Características dos Cabos MX CH'!$C$15:$L$20,3),"")))))))</f>
        <v/>
      </c>
      <c r="W91" s="195" t="str">
        <f t="shared" si="30"/>
        <v/>
      </c>
      <c r="X91" s="195" t="str">
        <f t="shared" si="31"/>
        <v/>
      </c>
      <c r="Y91" s="196" t="str">
        <f t="shared" si="32"/>
        <v/>
      </c>
      <c r="AA91" s="396">
        <f t="shared" si="35"/>
        <v>0</v>
      </c>
      <c r="AB91" s="396">
        <f t="shared" si="40"/>
        <v>0</v>
      </c>
      <c r="AC91" s="395"/>
      <c r="AE91" s="357" t="str">
        <f t="shared" si="37"/>
        <v/>
      </c>
      <c r="AF91" s="426">
        <f t="shared" si="24"/>
        <v>0</v>
      </c>
      <c r="AO91" s="401"/>
      <c r="AP91" s="413">
        <v>420</v>
      </c>
      <c r="AQ91" s="413">
        <v>3.37</v>
      </c>
      <c r="AR91" s="403"/>
    </row>
    <row r="92" spans="1:44" ht="15" customHeight="1">
      <c r="A92" s="696"/>
      <c r="B92" s="698"/>
      <c r="C92" s="568"/>
      <c r="D92" s="368"/>
      <c r="E92" s="372"/>
      <c r="F92" s="357" t="str">
        <f t="shared" si="36"/>
        <v/>
      </c>
      <c r="G92" s="384"/>
      <c r="H92" s="190" t="str">
        <f>IF(AND(E92="",G92=""),"",SUM(F92:G95))</f>
        <v/>
      </c>
      <c r="I92" s="191"/>
      <c r="J92" s="222"/>
      <c r="K92" s="222"/>
      <c r="L92" s="197" t="str">
        <f>IF(J92="Duplex",VLOOKUP(M92,'Características dos Cabos M Lot'!$C$12:$I$14,7),(IF(J92="Triplex",VLOOKUP(M92,'Características dos Cabos M Lot'!$C$15:$J$20,8),(IF(J92="Quadruplex",VLOOKUP(M92,'Características dos Cabos M Lot'!$C$21:$K$27,9),(IF(J92="13",VLOOKUP(M92,'Características dos Cabos M Lot'!$C$15:$L$20,10),"")))))))</f>
        <v/>
      </c>
      <c r="M92" s="350" t="str">
        <f t="shared" si="38"/>
        <v/>
      </c>
      <c r="N92" s="377"/>
      <c r="O92" s="192" t="str">
        <f t="shared" si="34"/>
        <v/>
      </c>
      <c r="P92" s="192" t="str">
        <f>IF(O92="","",SUM($O$86:O92)+$Z$86)</f>
        <v/>
      </c>
      <c r="Q92" s="192" t="str">
        <f t="shared" si="39"/>
        <v/>
      </c>
      <c r="R92" s="193" t="str">
        <f>IF(J92="Duplex",VLOOKUP(M92,'Características dos Cabos MX CH'!$C$12:$I$14,5),(IF(J92="Triplex",VLOOKUP(M92,'Características dos Cabos MX CH'!$C$15:$J$20,5),(IF(J92="Quadruplex",VLOOKUP(M92,'Características dos Cabos MX CH'!$C$21:$K$27,5),(IF(J92="13",VLOOKUP(M92,'Características dos Cabos MX CH'!$C$15:$L$20,5),"")))))))</f>
        <v/>
      </c>
      <c r="S92" s="193" t="str">
        <f>IF(J92="Duplex",VLOOKUP(M92,'Características dos Cabos MX CH'!$C$12:$I$14,6),(IF(J92="Triplex",VLOOKUP(M92,'Características dos Cabos MX CH'!$C$15:$J$20,6),(IF(J92="Quadruplex",VLOOKUP(M92,'Características dos Cabos MX CH'!$C$21:$K$27,6),(IF(J92="13",VLOOKUP(M92,'Características dos Cabos MX CH'!$C$15:$L$20,6),"")))))))</f>
        <v/>
      </c>
      <c r="T92" s="194" t="str">
        <f t="shared" si="29"/>
        <v/>
      </c>
      <c r="U92" s="447" t="str">
        <f>IF(J92="Duplex",VLOOKUP(M92,'Características dos Cabos MX CH'!$C$12:$I$14,2),(IF(J92="Triplex",VLOOKUP(M92,'Características dos Cabos MX CH'!$C$15:$J$20,2),(IF(J92="Quadruplex",VLOOKUP(M92,'Características dos Cabos MX CH'!$C$21:$K$27,2),(IF(J92="13",VLOOKUP(M92,'Características dos Cabos MX CH'!$C$15:$L$20,2),"")))))))</f>
        <v/>
      </c>
      <c r="V92" s="193" t="str">
        <f>IF(J92="Duplex",VLOOKUP(M92,'Características dos Cabos MX CH'!$C$12:$I$14,3),(IF(J92="Triplex",VLOOKUP(M92,'Características dos Cabos MX CH'!$C$15:$J$20,3),(IF(J92="Quadruplex",VLOOKUP(M92,'Características dos Cabos MX CH'!$C$21:$K$27,3),(IF(J92="13",VLOOKUP(M92,'Características dos Cabos MX CH'!$C$15:$L$20,3),"")))))))</f>
        <v/>
      </c>
      <c r="W92" s="195" t="str">
        <f t="shared" si="30"/>
        <v/>
      </c>
      <c r="X92" s="195" t="str">
        <f t="shared" si="31"/>
        <v/>
      </c>
      <c r="Y92" s="196" t="str">
        <f t="shared" si="32"/>
        <v/>
      </c>
      <c r="AA92" s="396">
        <f t="shared" si="35"/>
        <v>0</v>
      </c>
      <c r="AB92" s="396">
        <f t="shared" si="40"/>
        <v>0</v>
      </c>
      <c r="AC92" s="395"/>
      <c r="AE92" s="357" t="str">
        <f t="shared" si="37"/>
        <v/>
      </c>
      <c r="AF92" s="426">
        <f t="shared" si="24"/>
        <v>0</v>
      </c>
      <c r="AO92" s="401"/>
      <c r="AP92" s="413">
        <v>430</v>
      </c>
      <c r="AQ92" s="413">
        <v>3.42</v>
      </c>
      <c r="AR92" s="403"/>
    </row>
    <row r="93" spans="1:44" ht="15" customHeight="1">
      <c r="A93" s="696"/>
      <c r="B93" s="698"/>
      <c r="C93" s="568"/>
      <c r="D93" s="368"/>
      <c r="E93" s="372"/>
      <c r="F93" s="357" t="str">
        <f t="shared" si="36"/>
        <v/>
      </c>
      <c r="G93" s="384"/>
      <c r="H93" s="190" t="str">
        <f>IF(AND(E93="",G93=""),"",SUM(F93:G95))</f>
        <v/>
      </c>
      <c r="I93" s="191"/>
      <c r="J93" s="222"/>
      <c r="K93" s="222"/>
      <c r="L93" s="197" t="str">
        <f>IF(J93="Duplex",VLOOKUP(M93,'Características dos Cabos M Lot'!$C$12:$I$14,7),(IF(J93="Triplex",VLOOKUP(M93,'Características dos Cabos M Lot'!$C$15:$J$20,8),(IF(J93="Quadruplex",VLOOKUP(M93,'Características dos Cabos M Lot'!$C$21:$K$27,9),(IF(J93="13",VLOOKUP(M93,'Características dos Cabos M Lot'!$C$15:$L$20,10),"")))))))</f>
        <v/>
      </c>
      <c r="M93" s="350" t="str">
        <f t="shared" si="38"/>
        <v/>
      </c>
      <c r="N93" s="377"/>
      <c r="O93" s="192" t="str">
        <f t="shared" si="34"/>
        <v/>
      </c>
      <c r="P93" s="192" t="str">
        <f>IF(O93="","",SUM($O$86:O93)+$Z$86)</f>
        <v/>
      </c>
      <c r="Q93" s="192" t="str">
        <f t="shared" si="39"/>
        <v/>
      </c>
      <c r="R93" s="193" t="str">
        <f>IF(J93="Duplex",VLOOKUP(M93,'Características dos Cabos MX CH'!$C$12:$I$14,5),(IF(J93="Triplex",VLOOKUP(M93,'Características dos Cabos MX CH'!$C$15:$J$20,5),(IF(J93="Quadruplex",VLOOKUP(M93,'Características dos Cabos MX CH'!$C$21:$K$27,5),(IF(J93="13",VLOOKUP(M93,'Características dos Cabos MX CH'!$C$15:$L$20,5),"")))))))</f>
        <v/>
      </c>
      <c r="S93" s="193" t="str">
        <f>IF(J93="Duplex",VLOOKUP(M93,'Características dos Cabos MX CH'!$C$12:$I$14,6),(IF(J93="Triplex",VLOOKUP(M93,'Características dos Cabos MX CH'!$C$15:$J$20,6),(IF(J93="Quadruplex",VLOOKUP(M93,'Características dos Cabos MX CH'!$C$21:$K$27,6),(IF(J93="13",VLOOKUP(M93,'Características dos Cabos MX CH'!$C$15:$L$20,6),"")))))))</f>
        <v/>
      </c>
      <c r="T93" s="194" t="str">
        <f t="shared" si="29"/>
        <v/>
      </c>
      <c r="U93" s="447" t="str">
        <f>IF(J93="Duplex",VLOOKUP(M93,'Características dos Cabos MX CH'!$C$12:$I$14,2),(IF(J93="Triplex",VLOOKUP(M93,'Características dos Cabos MX CH'!$C$15:$J$20,2),(IF(J93="Quadruplex",VLOOKUP(M93,'Características dos Cabos MX CH'!$C$21:$K$27,2),(IF(J93="13",VLOOKUP(M93,'Características dos Cabos MX CH'!$C$15:$L$20,2),"")))))))</f>
        <v/>
      </c>
      <c r="V93" s="193" t="str">
        <f>IF(J93="Duplex",VLOOKUP(M93,'Características dos Cabos MX CH'!$C$12:$I$14,3),(IF(J93="Triplex",VLOOKUP(M93,'Características dos Cabos MX CH'!$C$15:$J$20,3),(IF(J93="Quadruplex",VLOOKUP(M93,'Características dos Cabos MX CH'!$C$21:$K$27,3),(IF(J93="13",VLOOKUP(M93,'Características dos Cabos MX CH'!$C$15:$L$20,3),"")))))))</f>
        <v/>
      </c>
      <c r="W93" s="195" t="str">
        <f t="shared" si="30"/>
        <v/>
      </c>
      <c r="X93" s="195" t="str">
        <f t="shared" si="31"/>
        <v/>
      </c>
      <c r="Y93" s="196" t="str">
        <f t="shared" si="32"/>
        <v/>
      </c>
      <c r="AA93" s="396">
        <f t="shared" si="35"/>
        <v>0</v>
      </c>
      <c r="AB93" s="396">
        <f t="shared" si="40"/>
        <v>0</v>
      </c>
      <c r="AC93" s="395"/>
      <c r="AE93" s="357" t="str">
        <f t="shared" si="37"/>
        <v/>
      </c>
      <c r="AF93" s="426">
        <f t="shared" si="24"/>
        <v>0</v>
      </c>
      <c r="AO93" s="401"/>
      <c r="AP93" s="413">
        <v>440</v>
      </c>
      <c r="AQ93" s="413">
        <v>3.47</v>
      </c>
      <c r="AR93" s="403"/>
    </row>
    <row r="94" spans="1:44" ht="15" customHeight="1">
      <c r="A94" s="696"/>
      <c r="B94" s="698"/>
      <c r="C94" s="568"/>
      <c r="D94" s="368"/>
      <c r="E94" s="372"/>
      <c r="F94" s="357" t="str">
        <f t="shared" si="36"/>
        <v/>
      </c>
      <c r="G94" s="384"/>
      <c r="H94" s="190" t="str">
        <f>IF(AND(E94="",G94=""),"",SUM(F94:G95))</f>
        <v/>
      </c>
      <c r="I94" s="191"/>
      <c r="J94" s="222"/>
      <c r="K94" s="222"/>
      <c r="L94" s="197" t="str">
        <f>IF(J94="Duplex",VLOOKUP(M94,'Características dos Cabos M Lot'!$C$12:$I$14,7),(IF(J94="Triplex",VLOOKUP(M94,'Características dos Cabos M Lot'!$C$15:$J$20,8),(IF(J94="Quadruplex",VLOOKUP(M94,'Características dos Cabos M Lot'!$C$21:$K$27,9),(IF(J94="13",VLOOKUP(M94,'Características dos Cabos M Lot'!$C$15:$L$20,10),"")))))))</f>
        <v/>
      </c>
      <c r="M94" s="350" t="str">
        <f t="shared" si="38"/>
        <v/>
      </c>
      <c r="N94" s="377"/>
      <c r="O94" s="192" t="str">
        <f t="shared" si="34"/>
        <v/>
      </c>
      <c r="P94" s="192" t="str">
        <f>IF(O94="","",SUM($O$86:O94)+$Z$86)</f>
        <v/>
      </c>
      <c r="Q94" s="192" t="str">
        <f t="shared" si="39"/>
        <v/>
      </c>
      <c r="R94" s="193" t="str">
        <f>IF(J94="Duplex",VLOOKUP(M94,'Características dos Cabos MX CH'!$C$12:$I$14,5),(IF(J94="Triplex",VLOOKUP(M94,'Características dos Cabos MX CH'!$C$15:$J$20,5),(IF(J94="Quadruplex",VLOOKUP(M94,'Características dos Cabos MX CH'!$C$21:$K$27,5),(IF(J94="13",VLOOKUP(M94,'Características dos Cabos MX CH'!$C$15:$L$20,5),"")))))))</f>
        <v/>
      </c>
      <c r="S94" s="193" t="str">
        <f>IF(J94="Duplex",VLOOKUP(M94,'Características dos Cabos MX CH'!$C$12:$I$14,6),(IF(J94="Triplex",VLOOKUP(M94,'Características dos Cabos MX CH'!$C$15:$J$20,6),(IF(J94="Quadruplex",VLOOKUP(M94,'Características dos Cabos MX CH'!$C$21:$K$27,6),(IF(J94="13",VLOOKUP(M94,'Características dos Cabos MX CH'!$C$15:$L$20,6),"")))))))</f>
        <v/>
      </c>
      <c r="T94" s="194" t="str">
        <f t="shared" si="29"/>
        <v/>
      </c>
      <c r="U94" s="447" t="str">
        <f>IF(J94="Duplex",VLOOKUP(M94,'Características dos Cabos MX CH'!$C$12:$I$14,2),(IF(J94="Triplex",VLOOKUP(M94,'Características dos Cabos MX CH'!$C$15:$J$20,2),(IF(J94="Quadruplex",VLOOKUP(M94,'Características dos Cabos MX CH'!$C$21:$K$27,2),(IF(J94="13",VLOOKUP(M94,'Características dos Cabos MX CH'!$C$15:$L$20,2),"")))))))</f>
        <v/>
      </c>
      <c r="V94" s="193" t="str">
        <f>IF(J94="Duplex",VLOOKUP(M94,'Características dos Cabos MX CH'!$C$12:$I$14,3),(IF(J94="Triplex",VLOOKUP(M94,'Características dos Cabos MX CH'!$C$15:$J$20,3),(IF(J94="Quadruplex",VLOOKUP(M94,'Características dos Cabos MX CH'!$C$21:$K$27,3),(IF(J94="13",VLOOKUP(M94,'Características dos Cabos MX CH'!$C$15:$L$20,3),"")))))))</f>
        <v/>
      </c>
      <c r="W94" s="195" t="str">
        <f t="shared" si="30"/>
        <v/>
      </c>
      <c r="X94" s="195" t="str">
        <f t="shared" si="31"/>
        <v/>
      </c>
      <c r="Y94" s="196" t="str">
        <f t="shared" si="32"/>
        <v/>
      </c>
      <c r="AA94" s="396">
        <f t="shared" si="35"/>
        <v>0</v>
      </c>
      <c r="AB94" s="396">
        <f t="shared" si="40"/>
        <v>0</v>
      </c>
      <c r="AC94" s="395"/>
      <c r="AE94" s="357" t="str">
        <f t="shared" si="37"/>
        <v/>
      </c>
      <c r="AF94" s="426">
        <f t="shared" si="24"/>
        <v>0</v>
      </c>
      <c r="AO94" s="401"/>
      <c r="AP94" s="413">
        <v>450</v>
      </c>
      <c r="AQ94" s="413">
        <v>3.52</v>
      </c>
      <c r="AR94" s="403"/>
    </row>
    <row r="95" spans="1:44" ht="15" customHeight="1" thickBot="1">
      <c r="A95" s="696"/>
      <c r="B95" s="699"/>
      <c r="C95" s="570"/>
      <c r="D95" s="370"/>
      <c r="E95" s="369"/>
      <c r="F95" s="461" t="str">
        <f t="shared" si="36"/>
        <v/>
      </c>
      <c r="G95" s="385"/>
      <c r="H95" s="200" t="str">
        <f>IF(AND(E95="",G95=""),"",SUM(F95:G95))</f>
        <v/>
      </c>
      <c r="I95" s="201"/>
      <c r="J95" s="223"/>
      <c r="K95" s="223"/>
      <c r="L95" s="202" t="str">
        <f>IF(J95="Duplex",VLOOKUP(M95,'Características dos Cabos M Lot'!$C$12:$I$14,7),(IF(J95="Triplex",VLOOKUP(M95,'Características dos Cabos M Lot'!$C$15:$J$20,8),(IF(J95="Quadruplex",VLOOKUP(M95,'Características dos Cabos M Lot'!$C$21:$K$27,9),(IF(J95="13",VLOOKUP(M95,'Características dos Cabos M Lot'!$C$15:$L$20,10),"")))))))</f>
        <v/>
      </c>
      <c r="M95" s="353" t="str">
        <f t="shared" si="38"/>
        <v/>
      </c>
      <c r="N95" s="378"/>
      <c r="O95" s="203" t="str">
        <f t="shared" si="34"/>
        <v/>
      </c>
      <c r="P95" s="192" t="str">
        <f>IF(O95="","",SUM($O$86:O95)+$Z$86)</f>
        <v/>
      </c>
      <c r="Q95" s="203" t="str">
        <f t="shared" si="39"/>
        <v/>
      </c>
      <c r="R95" s="204" t="str">
        <f>IF(J95="Duplex",VLOOKUP(M95,'Características dos Cabos MX CH'!$C$12:$I$14,5),(IF(J95="Triplex",VLOOKUP(M95,'Características dos Cabos MX CH'!$C$15:$J$20,5),(IF(J95="Quadruplex",VLOOKUP(M95,'Características dos Cabos MX CH'!$C$21:$K$27,5),(IF(J95="13",VLOOKUP(M95,'Características dos Cabos MX CH'!$C$15:$L$20,5),"")))))))</f>
        <v/>
      </c>
      <c r="S95" s="204" t="str">
        <f>IF(J95="Duplex",VLOOKUP(M95,'Características dos Cabos MX CH'!$C$12:$I$14,6),(IF(J95="Triplex",VLOOKUP(M95,'Características dos Cabos MX CH'!$C$15:$J$20,6),(IF(J95="Quadruplex",VLOOKUP(M95,'Características dos Cabos MX CH'!$C$21:$K$27,6),(IF(J95="13",VLOOKUP(M95,'Características dos Cabos MX CH'!$C$15:$L$20,6),"")))))))</f>
        <v/>
      </c>
      <c r="T95" s="205" t="str">
        <f t="shared" si="29"/>
        <v/>
      </c>
      <c r="U95" s="448" t="str">
        <f>IF(J95="Duplex",VLOOKUP(M95,'Características dos Cabos MX CH'!$C$12:$I$14,2),(IF(J95="Triplex",VLOOKUP(M95,'Características dos Cabos MX CH'!$C$15:$J$20,2),(IF(J95="Quadruplex",VLOOKUP(M95,'Características dos Cabos MX CH'!$C$21:$K$27,2),(IF(J95="13",VLOOKUP(M95,'Características dos Cabos MX CH'!$C$15:$L$20,2),"")))))))</f>
        <v/>
      </c>
      <c r="V95" s="204" t="str">
        <f>IF(J95="Duplex",VLOOKUP(M95,'Características dos Cabos MX CH'!$C$12:$I$14,3),(IF(J95="Triplex",VLOOKUP(M95,'Características dos Cabos MX CH'!$C$15:$J$20,3),(IF(J95="Quadruplex",VLOOKUP(M95,'Características dos Cabos MX CH'!$C$21:$K$27,3),(IF(J95="13",VLOOKUP(M95,'Características dos Cabos MX CH'!$C$15:$L$20,3),"")))))))</f>
        <v/>
      </c>
      <c r="W95" s="206" t="str">
        <f t="shared" si="30"/>
        <v/>
      </c>
      <c r="X95" s="206" t="str">
        <f t="shared" si="31"/>
        <v/>
      </c>
      <c r="Y95" s="207" t="str">
        <f t="shared" si="32"/>
        <v/>
      </c>
      <c r="AA95" s="396">
        <f t="shared" si="35"/>
        <v>0</v>
      </c>
      <c r="AB95" s="396">
        <f t="shared" si="40"/>
        <v>0</v>
      </c>
      <c r="AC95" s="395"/>
      <c r="AE95" s="357" t="str">
        <f t="shared" si="37"/>
        <v/>
      </c>
      <c r="AF95" s="426">
        <f t="shared" si="24"/>
        <v>0</v>
      </c>
      <c r="AO95" s="401"/>
      <c r="AP95" s="413">
        <v>460</v>
      </c>
      <c r="AQ95" s="413">
        <v>3.56</v>
      </c>
      <c r="AR95" s="403"/>
    </row>
    <row r="96" spans="1:44" ht="15" customHeight="1" thickTop="1">
      <c r="A96" s="696"/>
      <c r="B96" s="700" t="str">
        <f>CONCATENATE("Ramal 6 - Derivando no ponto ",C96)</f>
        <v xml:space="preserve">Ramal 6 - Derivando no ponto </v>
      </c>
      <c r="C96" s="571"/>
      <c r="D96" s="371"/>
      <c r="E96" s="374"/>
      <c r="F96" s="459" t="str">
        <f t="shared" si="36"/>
        <v/>
      </c>
      <c r="G96" s="386"/>
      <c r="H96" s="209" t="str">
        <f>IF(AND(E96="",G96=""),"",SUM(F96:G105))</f>
        <v/>
      </c>
      <c r="I96" s="210"/>
      <c r="J96" s="224"/>
      <c r="K96" s="224"/>
      <c r="L96" s="211" t="str">
        <f>IF(J96="Duplex",VLOOKUP(M96,'Características dos Cabos M Lot'!$C$12:$I$14,7),(IF(J96="Triplex",VLOOKUP(M96,'Características dos Cabos M Lot'!$C$15:$J$20,8),(IF(J96="Quadruplex",VLOOKUP(M96,'Características dos Cabos M Lot'!$C$21:$K$27,9),(IF(J96="13",VLOOKUP(M96,'Características dos Cabos M Lot'!$C$15:$L$20,10),"")))))))</f>
        <v/>
      </c>
      <c r="M96" s="354" t="str">
        <f t="shared" si="38"/>
        <v/>
      </c>
      <c r="N96" s="379"/>
      <c r="O96" s="212" t="str">
        <f t="shared" si="34"/>
        <v/>
      </c>
      <c r="P96" s="217" t="str">
        <f>IF(O96="","",O96+VLOOKUP(C96,$D$20:$Q$95,13,FALSE))</f>
        <v/>
      </c>
      <c r="Q96" s="212" t="str">
        <f t="shared" si="39"/>
        <v/>
      </c>
      <c r="R96" s="213" t="str">
        <f>IF(J96="Duplex",VLOOKUP(M96,'Características dos Cabos MX CH'!$C$12:$I$14,5),(IF(J96="Triplex",VLOOKUP(M96,'Características dos Cabos MX CH'!$C$15:$J$20,5),(IF(J96="Quadruplex",VLOOKUP(M96,'Características dos Cabos MX CH'!$C$21:$K$27,5),(IF(J96="13",VLOOKUP(M96,'Características dos Cabos MX CH'!$C$15:$L$20,5),"")))))))</f>
        <v/>
      </c>
      <c r="S96" s="213" t="str">
        <f>IF(J96="Duplex",VLOOKUP(M96,'Características dos Cabos MX CH'!$C$12:$I$14,6),(IF(J96="Triplex",VLOOKUP(M96,'Características dos Cabos MX CH'!$C$15:$J$20,6),(IF(J96="Quadruplex",VLOOKUP(M96,'Características dos Cabos MX CH'!$C$21:$K$27,6),(IF(J96="13",VLOOKUP(M96,'Características dos Cabos MX CH'!$C$15:$L$20,6),"")))))))</f>
        <v/>
      </c>
      <c r="T96" s="214" t="str">
        <f t="shared" si="29"/>
        <v/>
      </c>
      <c r="U96" s="450" t="str">
        <f>IF(J96="Duplex",VLOOKUP(M96,'Características dos Cabos MX CH'!$C$12:$I$14,2),(IF(J96="Triplex",VLOOKUP(M96,'Características dos Cabos MX CH'!$C$15:$J$20,2),(IF(J96="Quadruplex",VLOOKUP(M96,'Características dos Cabos MX CH'!$C$21:$K$27,2),(IF(J96="13",VLOOKUP(M96,'Características dos Cabos MX CH'!$C$15:$L$20,2),"")))))))</f>
        <v/>
      </c>
      <c r="V96" s="213" t="str">
        <f>IF(J96="Duplex",VLOOKUP(M96,'Características dos Cabos MX CH'!$C$12:$I$14,3),(IF(J96="Triplex",VLOOKUP(M96,'Características dos Cabos MX CH'!$C$15:$J$20,3),(IF(J96="Quadruplex",VLOOKUP(M96,'Características dos Cabos MX CH'!$C$21:$K$27,3),(IF(J96="13",VLOOKUP(M96,'Características dos Cabos MX CH'!$C$15:$L$20,3),"")))))))</f>
        <v/>
      </c>
      <c r="W96" s="215" t="str">
        <f t="shared" si="30"/>
        <v/>
      </c>
      <c r="X96" s="215" t="str">
        <f t="shared" si="31"/>
        <v/>
      </c>
      <c r="Y96" s="216" t="str">
        <f t="shared" si="32"/>
        <v/>
      </c>
      <c r="Z96" s="393" t="str">
        <f>IF(O96="","",VLOOKUP(C96,$D$20:$P$95,13,FALSE))</f>
        <v/>
      </c>
      <c r="AA96" s="396">
        <f t="shared" si="35"/>
        <v>0</v>
      </c>
      <c r="AB96" s="396">
        <f t="shared" si="40"/>
        <v>0</v>
      </c>
      <c r="AC96" s="395"/>
      <c r="AE96" s="357" t="str">
        <f t="shared" si="37"/>
        <v/>
      </c>
      <c r="AF96" s="426">
        <f t="shared" si="24"/>
        <v>0</v>
      </c>
      <c r="AO96" s="401"/>
      <c r="AP96" s="413">
        <v>470</v>
      </c>
      <c r="AQ96" s="413">
        <v>3.61</v>
      </c>
      <c r="AR96" s="403"/>
    </row>
    <row r="97" spans="1:44" ht="15" customHeight="1">
      <c r="A97" s="696"/>
      <c r="B97" s="698"/>
      <c r="C97" s="568"/>
      <c r="D97" s="368"/>
      <c r="E97" s="372"/>
      <c r="F97" s="357" t="str">
        <f t="shared" si="36"/>
        <v/>
      </c>
      <c r="G97" s="384"/>
      <c r="H97" s="190" t="str">
        <f>IF(AND(E97="",G97=""),"",SUM(F97:G105))</f>
        <v/>
      </c>
      <c r="I97" s="191"/>
      <c r="J97" s="222"/>
      <c r="K97" s="222"/>
      <c r="L97" s="197" t="str">
        <f>IF(J97="Duplex",VLOOKUP(M97,'Características dos Cabos M Lot'!$C$12:$I$14,7),(IF(J97="Triplex",VLOOKUP(M97,'Características dos Cabos M Lot'!$C$15:$J$20,8),(IF(J97="Quadruplex",VLOOKUP(M97,'Características dos Cabos M Lot'!$C$21:$K$27,9),(IF(J97="13",VLOOKUP(M97,'Características dos Cabos M Lot'!$C$15:$L$20,10),"")))))))</f>
        <v/>
      </c>
      <c r="M97" s="350" t="str">
        <f t="shared" si="38"/>
        <v/>
      </c>
      <c r="N97" s="377"/>
      <c r="O97" s="192" t="str">
        <f t="shared" si="34"/>
        <v/>
      </c>
      <c r="P97" s="192" t="str">
        <f>IF(O97="","",SUM($O$96:O97)+$Z$96)</f>
        <v/>
      </c>
      <c r="Q97" s="192" t="str">
        <f t="shared" si="39"/>
        <v/>
      </c>
      <c r="R97" s="193" t="str">
        <f>IF(J97="Duplex",VLOOKUP(M97,'Características dos Cabos MX CH'!$C$12:$I$14,5),(IF(J97="Triplex",VLOOKUP(M97,'Características dos Cabos MX CH'!$C$15:$J$20,5),(IF(J97="Quadruplex",VLOOKUP(M97,'Características dos Cabos MX CH'!$C$21:$K$27,5),(IF(J97="13",VLOOKUP(M97,'Características dos Cabos MX CH'!$C$15:$L$20,5),"")))))))</f>
        <v/>
      </c>
      <c r="S97" s="193" t="str">
        <f>IF(J97="Duplex",VLOOKUP(M97,'Características dos Cabos MX CH'!$C$12:$I$14,6),(IF(J97="Triplex",VLOOKUP(M97,'Características dos Cabos MX CH'!$C$15:$J$20,6),(IF(J97="Quadruplex",VLOOKUP(M97,'Características dos Cabos MX CH'!$C$21:$K$27,6),(IF(J97="13",VLOOKUP(M97,'Características dos Cabos MX CH'!$C$15:$L$20,6),"")))))))</f>
        <v/>
      </c>
      <c r="T97" s="194" t="str">
        <f t="shared" si="29"/>
        <v/>
      </c>
      <c r="U97" s="447" t="str">
        <f>IF(J97="Duplex",VLOOKUP(M97,'Características dos Cabos MX CH'!$C$12:$I$14,2),(IF(J97="Triplex",VLOOKUP(M97,'Características dos Cabos MX CH'!$C$15:$J$20,2),(IF(J97="Quadruplex",VLOOKUP(M97,'Características dos Cabos MX CH'!$C$21:$K$27,2),(IF(J97="13",VLOOKUP(M97,'Características dos Cabos MX CH'!$C$15:$L$20,2),"")))))))</f>
        <v/>
      </c>
      <c r="V97" s="193" t="str">
        <f>IF(J97="Duplex",VLOOKUP(M97,'Características dos Cabos MX CH'!$C$12:$I$14,3),(IF(J97="Triplex",VLOOKUP(M97,'Características dos Cabos MX CH'!$C$15:$J$20,3),(IF(J97="Quadruplex",VLOOKUP(M97,'Características dos Cabos MX CH'!$C$21:$K$27,3),(IF(J97="13",VLOOKUP(M97,'Características dos Cabos MX CH'!$C$15:$L$20,3),"")))))))</f>
        <v/>
      </c>
      <c r="W97" s="195" t="str">
        <f t="shared" si="30"/>
        <v/>
      </c>
      <c r="X97" s="195" t="str">
        <f t="shared" si="31"/>
        <v/>
      </c>
      <c r="Y97" s="196" t="str">
        <f t="shared" si="32"/>
        <v/>
      </c>
      <c r="AA97" s="396">
        <f t="shared" si="35"/>
        <v>0</v>
      </c>
      <c r="AB97" s="396">
        <f t="shared" si="40"/>
        <v>0</v>
      </c>
      <c r="AC97" s="395"/>
      <c r="AE97" s="357" t="str">
        <f t="shared" si="37"/>
        <v/>
      </c>
      <c r="AF97" s="426">
        <f t="shared" si="24"/>
        <v>0</v>
      </c>
      <c r="AO97" s="401"/>
      <c r="AP97" s="413">
        <v>480</v>
      </c>
      <c r="AQ97" s="413">
        <v>3.66</v>
      </c>
      <c r="AR97" s="403"/>
    </row>
    <row r="98" spans="1:44" ht="15" customHeight="1">
      <c r="A98" s="696"/>
      <c r="B98" s="698"/>
      <c r="C98" s="568"/>
      <c r="D98" s="368"/>
      <c r="E98" s="372"/>
      <c r="F98" s="357" t="str">
        <f t="shared" si="36"/>
        <v/>
      </c>
      <c r="G98" s="384"/>
      <c r="H98" s="190" t="str">
        <f>IF(AND(E98="",G98=""),"",SUM(F98:G105))</f>
        <v/>
      </c>
      <c r="I98" s="191"/>
      <c r="J98" s="222"/>
      <c r="K98" s="222"/>
      <c r="L98" s="197" t="str">
        <f>IF(J98="Duplex",VLOOKUP(M98,'Características dos Cabos M Lot'!$C$12:$I$14,7),(IF(J98="Triplex",VLOOKUP(M98,'Características dos Cabos M Lot'!$C$15:$J$20,8),(IF(J98="Quadruplex",VLOOKUP(M98,'Características dos Cabos M Lot'!$C$21:$K$27,9),(IF(J98="13",VLOOKUP(M98,'Características dos Cabos M Lot'!$C$15:$L$20,10),"")))))))</f>
        <v/>
      </c>
      <c r="M98" s="350" t="str">
        <f t="shared" si="38"/>
        <v/>
      </c>
      <c r="N98" s="377"/>
      <c r="O98" s="192" t="str">
        <f t="shared" si="34"/>
        <v/>
      </c>
      <c r="P98" s="192" t="str">
        <f>IF(O98="","",SUM($O$96:O98)+$Z$96)</f>
        <v/>
      </c>
      <c r="Q98" s="192" t="str">
        <f t="shared" si="39"/>
        <v/>
      </c>
      <c r="R98" s="193" t="str">
        <f>IF(J98="Duplex",VLOOKUP(M98,'Características dos Cabos MX CH'!$C$12:$I$14,5),(IF(J98="Triplex",VLOOKUP(M98,'Características dos Cabos MX CH'!$C$15:$J$20,5),(IF(J98="Quadruplex",VLOOKUP(M98,'Características dos Cabos MX CH'!$C$21:$K$27,5),(IF(J98="13",VLOOKUP(M98,'Características dos Cabos MX CH'!$C$15:$L$20,5),"")))))))</f>
        <v/>
      </c>
      <c r="S98" s="193" t="str">
        <f>IF(J98="Duplex",VLOOKUP(M98,'Características dos Cabos MX CH'!$C$12:$I$14,6),(IF(J98="Triplex",VLOOKUP(M98,'Características dos Cabos MX CH'!$C$15:$J$20,6),(IF(J98="Quadruplex",VLOOKUP(M98,'Características dos Cabos MX CH'!$C$21:$K$27,6),(IF(J98="13",VLOOKUP(M98,'Características dos Cabos MX CH'!$C$15:$L$20,6),"")))))))</f>
        <v/>
      </c>
      <c r="T98" s="194" t="str">
        <f t="shared" si="29"/>
        <v/>
      </c>
      <c r="U98" s="447" t="str">
        <f>IF(J98="Duplex",VLOOKUP(M98,'Características dos Cabos MX CH'!$C$12:$I$14,2),(IF(J98="Triplex",VLOOKUP(M98,'Características dos Cabos MX CH'!$C$15:$J$20,2),(IF(J98="Quadruplex",VLOOKUP(M98,'Características dos Cabos MX CH'!$C$21:$K$27,2),(IF(J98="13",VLOOKUP(M98,'Características dos Cabos MX CH'!$C$15:$L$20,2),"")))))))</f>
        <v/>
      </c>
      <c r="V98" s="193" t="str">
        <f>IF(J98="Duplex",VLOOKUP(M98,'Características dos Cabos MX CH'!$C$12:$I$14,3),(IF(J98="Triplex",VLOOKUP(M98,'Características dos Cabos MX CH'!$C$15:$J$20,3),(IF(J98="Quadruplex",VLOOKUP(M98,'Características dos Cabos MX CH'!$C$21:$K$27,3),(IF(J98="13",VLOOKUP(M98,'Características dos Cabos MX CH'!$C$15:$L$20,3),"")))))))</f>
        <v/>
      </c>
      <c r="W98" s="195" t="str">
        <f t="shared" si="30"/>
        <v/>
      </c>
      <c r="X98" s="195" t="str">
        <f t="shared" si="31"/>
        <v/>
      </c>
      <c r="Y98" s="196" t="str">
        <f t="shared" si="32"/>
        <v/>
      </c>
      <c r="AA98" s="396">
        <f t="shared" si="35"/>
        <v>0</v>
      </c>
      <c r="AB98" s="396">
        <f t="shared" si="40"/>
        <v>0</v>
      </c>
      <c r="AC98" s="395"/>
      <c r="AE98" s="357" t="str">
        <f t="shared" si="37"/>
        <v/>
      </c>
      <c r="AF98" s="426">
        <f t="shared" si="24"/>
        <v>0</v>
      </c>
      <c r="AO98" s="401"/>
      <c r="AP98" s="413">
        <v>490</v>
      </c>
      <c r="AQ98" s="413">
        <v>3.71</v>
      </c>
      <c r="AR98" s="403"/>
    </row>
    <row r="99" spans="1:44" ht="15" customHeight="1">
      <c r="A99" s="696"/>
      <c r="B99" s="698"/>
      <c r="C99" s="568"/>
      <c r="D99" s="368"/>
      <c r="E99" s="372"/>
      <c r="F99" s="357" t="str">
        <f t="shared" si="36"/>
        <v/>
      </c>
      <c r="G99" s="384"/>
      <c r="H99" s="190" t="str">
        <f>IF(AND(E99="",G99=""),"",SUM(F99:G105))</f>
        <v/>
      </c>
      <c r="I99" s="191"/>
      <c r="J99" s="222"/>
      <c r="K99" s="222"/>
      <c r="L99" s="197" t="str">
        <f>IF(J99="Duplex",VLOOKUP(M99,'Características dos Cabos M Lot'!$C$12:$I$14,7),(IF(J99="Triplex",VLOOKUP(M99,'Características dos Cabos M Lot'!$C$15:$J$20,8),(IF(J99="Quadruplex",VLOOKUP(M99,'Características dos Cabos M Lot'!$C$21:$K$27,9),(IF(J99="13",VLOOKUP(M99,'Características dos Cabos M Lot'!$C$15:$L$20,10),"")))))))</f>
        <v/>
      </c>
      <c r="M99" s="350" t="str">
        <f t="shared" si="38"/>
        <v/>
      </c>
      <c r="N99" s="377"/>
      <c r="O99" s="192" t="str">
        <f t="shared" si="34"/>
        <v/>
      </c>
      <c r="P99" s="192" t="str">
        <f>IF(O99="","",SUM($O$96:O99)+$Z$96)</f>
        <v/>
      </c>
      <c r="Q99" s="192" t="str">
        <f t="shared" si="39"/>
        <v/>
      </c>
      <c r="R99" s="193" t="str">
        <f>IF(J99="Duplex",VLOOKUP(M99,'Características dos Cabos MX CH'!$C$12:$I$14,5),(IF(J99="Triplex",VLOOKUP(M99,'Características dos Cabos MX CH'!$C$15:$J$20,5),(IF(J99="Quadruplex",VLOOKUP(M99,'Características dos Cabos MX CH'!$C$21:$K$27,5),(IF(J99="13",VLOOKUP(M99,'Características dos Cabos MX CH'!$C$15:$L$20,5),"")))))))</f>
        <v/>
      </c>
      <c r="S99" s="193" t="str">
        <f>IF(J99="Duplex",VLOOKUP(M99,'Características dos Cabos MX CH'!$C$12:$I$14,6),(IF(J99="Triplex",VLOOKUP(M99,'Características dos Cabos MX CH'!$C$15:$J$20,6),(IF(J99="Quadruplex",VLOOKUP(M99,'Características dos Cabos MX CH'!$C$21:$K$27,6),(IF(J99="13",VLOOKUP(M99,'Características dos Cabos MX CH'!$C$15:$L$20,6),"")))))))</f>
        <v/>
      </c>
      <c r="T99" s="194" t="str">
        <f t="shared" si="29"/>
        <v/>
      </c>
      <c r="U99" s="447" t="str">
        <f>IF(J99="Duplex",VLOOKUP(M99,'Características dos Cabos MX CH'!$C$12:$I$14,2),(IF(J99="Triplex",VLOOKUP(M99,'Características dos Cabos MX CH'!$C$15:$J$20,2),(IF(J99="Quadruplex",VLOOKUP(M99,'Características dos Cabos MX CH'!$C$21:$K$27,2),(IF(J99="13",VLOOKUP(M99,'Características dos Cabos MX CH'!$C$15:$L$20,2),"")))))))</f>
        <v/>
      </c>
      <c r="V99" s="193" t="str">
        <f>IF(J99="Duplex",VLOOKUP(M99,'Características dos Cabos MX CH'!$C$12:$I$14,3),(IF(J99="Triplex",VLOOKUP(M99,'Características dos Cabos MX CH'!$C$15:$J$20,3),(IF(J99="Quadruplex",VLOOKUP(M99,'Características dos Cabos MX CH'!$C$21:$K$27,3),(IF(J99="13",VLOOKUP(M99,'Características dos Cabos MX CH'!$C$15:$L$20,3),"")))))))</f>
        <v/>
      </c>
      <c r="W99" s="195" t="str">
        <f t="shared" si="30"/>
        <v/>
      </c>
      <c r="X99" s="195" t="str">
        <f t="shared" si="31"/>
        <v/>
      </c>
      <c r="Y99" s="196" t="str">
        <f t="shared" si="32"/>
        <v/>
      </c>
      <c r="AA99" s="396">
        <f t="shared" si="35"/>
        <v>0</v>
      </c>
      <c r="AB99" s="396">
        <f t="shared" si="40"/>
        <v>0</v>
      </c>
      <c r="AC99" s="395"/>
      <c r="AE99" s="357" t="str">
        <f t="shared" si="37"/>
        <v/>
      </c>
      <c r="AF99" s="426">
        <f t="shared" si="24"/>
        <v>0</v>
      </c>
      <c r="AO99" s="401"/>
      <c r="AP99" s="413">
        <v>500</v>
      </c>
      <c r="AQ99" s="413">
        <v>3.76</v>
      </c>
      <c r="AR99" s="403"/>
    </row>
    <row r="100" spans="1:44" ht="15" customHeight="1">
      <c r="A100" s="696"/>
      <c r="B100" s="698"/>
      <c r="C100" s="568"/>
      <c r="D100" s="368"/>
      <c r="E100" s="372"/>
      <c r="F100" s="357" t="str">
        <f t="shared" si="36"/>
        <v/>
      </c>
      <c r="G100" s="384"/>
      <c r="H100" s="190" t="str">
        <f>IF(AND(E100="",G100=""),"",SUM(F100:G105))</f>
        <v/>
      </c>
      <c r="I100" s="191"/>
      <c r="J100" s="222"/>
      <c r="K100" s="222"/>
      <c r="L100" s="197" t="str">
        <f>IF(J100="Duplex",VLOOKUP(M100,'Características dos Cabos M Lot'!$C$12:$I$14,7),(IF(J100="Triplex",VLOOKUP(M100,'Características dos Cabos M Lot'!$C$15:$J$20,8),(IF(J100="Quadruplex",VLOOKUP(M100,'Características dos Cabos M Lot'!$C$21:$K$27,9),(IF(J100="13",VLOOKUP(M100,'Características dos Cabos M Lot'!$C$15:$L$20,10),"")))))))</f>
        <v/>
      </c>
      <c r="M100" s="350" t="str">
        <f t="shared" si="38"/>
        <v/>
      </c>
      <c r="N100" s="377"/>
      <c r="O100" s="192" t="str">
        <f t="shared" si="34"/>
        <v/>
      </c>
      <c r="P100" s="192" t="str">
        <f>IF(O100="","",SUM($O$96:O100)+$Z$96)</f>
        <v/>
      </c>
      <c r="Q100" s="192" t="str">
        <f t="shared" si="39"/>
        <v/>
      </c>
      <c r="R100" s="193" t="str">
        <f>IF(J100="Duplex",VLOOKUP(M100,'Características dos Cabos MX CH'!$C$12:$I$14,5),(IF(J100="Triplex",VLOOKUP(M100,'Características dos Cabos MX CH'!$C$15:$J$20,5),(IF(J100="Quadruplex",VLOOKUP(M100,'Características dos Cabos MX CH'!$C$21:$K$27,5),(IF(J100="13",VLOOKUP(M100,'Características dos Cabos MX CH'!$C$15:$L$20,5),"")))))))</f>
        <v/>
      </c>
      <c r="S100" s="193" t="str">
        <f>IF(J100="Duplex",VLOOKUP(M100,'Características dos Cabos MX CH'!$C$12:$I$14,6),(IF(J100="Triplex",VLOOKUP(M100,'Características dos Cabos MX CH'!$C$15:$J$20,6),(IF(J100="Quadruplex",VLOOKUP(M100,'Características dos Cabos MX CH'!$C$21:$K$27,6),(IF(J100="13",VLOOKUP(M100,'Características dos Cabos MX CH'!$C$15:$L$20,6),"")))))))</f>
        <v/>
      </c>
      <c r="T100" s="194" t="str">
        <f t="shared" si="29"/>
        <v/>
      </c>
      <c r="U100" s="447" t="str">
        <f>IF(J100="Duplex",VLOOKUP(M100,'Características dos Cabos MX CH'!$C$12:$I$14,2),(IF(J100="Triplex",VLOOKUP(M100,'Características dos Cabos MX CH'!$C$15:$J$20,2),(IF(J100="Quadruplex",VLOOKUP(M100,'Características dos Cabos MX CH'!$C$21:$K$27,2),(IF(J100="13",VLOOKUP(M100,'Características dos Cabos MX CH'!$C$15:$L$20,2),"")))))))</f>
        <v/>
      </c>
      <c r="V100" s="193" t="str">
        <f>IF(J100="Duplex",VLOOKUP(M100,'Características dos Cabos MX CH'!$C$12:$I$14,3),(IF(J100="Triplex",VLOOKUP(M100,'Características dos Cabos MX CH'!$C$15:$J$20,3),(IF(J100="Quadruplex",VLOOKUP(M100,'Características dos Cabos MX CH'!$C$21:$K$27,3),(IF(J100="13",VLOOKUP(M100,'Características dos Cabos MX CH'!$C$15:$L$20,3),"")))))))</f>
        <v/>
      </c>
      <c r="W100" s="195" t="str">
        <f t="shared" si="30"/>
        <v/>
      </c>
      <c r="X100" s="195" t="str">
        <f t="shared" si="31"/>
        <v/>
      </c>
      <c r="Y100" s="196" t="str">
        <f t="shared" si="32"/>
        <v/>
      </c>
      <c r="AA100" s="396">
        <f t="shared" si="35"/>
        <v>0</v>
      </c>
      <c r="AB100" s="396">
        <f t="shared" si="40"/>
        <v>0</v>
      </c>
      <c r="AC100" s="395"/>
      <c r="AE100" s="357" t="str">
        <f t="shared" si="37"/>
        <v/>
      </c>
      <c r="AF100" s="426">
        <f t="shared" si="24"/>
        <v>0</v>
      </c>
      <c r="AO100" s="401"/>
      <c r="AP100" s="413">
        <v>510</v>
      </c>
      <c r="AQ100" s="413">
        <v>3.78</v>
      </c>
      <c r="AR100" s="403"/>
    </row>
    <row r="101" spans="1:44" ht="15" customHeight="1">
      <c r="A101" s="696"/>
      <c r="B101" s="698"/>
      <c r="C101" s="568"/>
      <c r="D101" s="368"/>
      <c r="E101" s="372"/>
      <c r="F101" s="357" t="str">
        <f t="shared" si="36"/>
        <v/>
      </c>
      <c r="G101" s="384"/>
      <c r="H101" s="190" t="str">
        <f>IF(AND(E101="",G101=""),"",SUM(F101:G105))</f>
        <v/>
      </c>
      <c r="I101" s="191"/>
      <c r="J101" s="222"/>
      <c r="K101" s="222"/>
      <c r="L101" s="197" t="str">
        <f>IF(J101="Duplex",VLOOKUP(M101,'Características dos Cabos M Lot'!$C$12:$I$14,7),(IF(J101="Triplex",VLOOKUP(M101,'Características dos Cabos M Lot'!$C$15:$J$20,8),(IF(J101="Quadruplex",VLOOKUP(M101,'Características dos Cabos M Lot'!$C$21:$K$27,9),(IF(J101="13",VLOOKUP(M101,'Características dos Cabos M Lot'!$C$15:$L$20,10),"")))))))</f>
        <v/>
      </c>
      <c r="M101" s="350" t="str">
        <f t="shared" si="38"/>
        <v/>
      </c>
      <c r="N101" s="377"/>
      <c r="O101" s="192" t="str">
        <f t="shared" si="34"/>
        <v/>
      </c>
      <c r="P101" s="192" t="str">
        <f>IF(O101="","",SUM($O$96:O101)+$Z$96)</f>
        <v/>
      </c>
      <c r="Q101" s="192" t="str">
        <f t="shared" si="39"/>
        <v/>
      </c>
      <c r="R101" s="193" t="str">
        <f>IF(J101="Duplex",VLOOKUP(M101,'Características dos Cabos MX CH'!$C$12:$I$14,5),(IF(J101="Triplex",VLOOKUP(M101,'Características dos Cabos MX CH'!$C$15:$J$20,5),(IF(J101="Quadruplex",VLOOKUP(M101,'Características dos Cabos MX CH'!$C$21:$K$27,5),(IF(J101="13",VLOOKUP(M101,'Características dos Cabos MX CH'!$C$15:$L$20,5),"")))))))</f>
        <v/>
      </c>
      <c r="S101" s="193" t="str">
        <f>IF(J101="Duplex",VLOOKUP(M101,'Características dos Cabos MX CH'!$C$12:$I$14,6),(IF(J101="Triplex",VLOOKUP(M101,'Características dos Cabos MX CH'!$C$15:$J$20,6),(IF(J101="Quadruplex",VLOOKUP(M101,'Características dos Cabos MX CH'!$C$21:$K$27,6),(IF(J101="13",VLOOKUP(M101,'Características dos Cabos MX CH'!$C$15:$L$20,6),"")))))))</f>
        <v/>
      </c>
      <c r="T101" s="194" t="str">
        <f t="shared" si="29"/>
        <v/>
      </c>
      <c r="U101" s="447" t="str">
        <f>IF(J101="Duplex",VLOOKUP(M101,'Características dos Cabos MX CH'!$C$12:$I$14,2),(IF(J101="Triplex",VLOOKUP(M101,'Características dos Cabos MX CH'!$C$15:$J$20,2),(IF(J101="Quadruplex",VLOOKUP(M101,'Características dos Cabos MX CH'!$C$21:$K$27,2),(IF(J101="13",VLOOKUP(M101,'Características dos Cabos MX CH'!$C$15:$L$20,2),"")))))))</f>
        <v/>
      </c>
      <c r="V101" s="193" t="str">
        <f>IF(J101="Duplex",VLOOKUP(M101,'Características dos Cabos MX CH'!$C$12:$I$14,3),(IF(J101="Triplex",VLOOKUP(M101,'Características dos Cabos MX CH'!$C$15:$J$20,3),(IF(J101="Quadruplex",VLOOKUP(M101,'Características dos Cabos MX CH'!$C$21:$K$27,3),(IF(J101="13",VLOOKUP(M101,'Características dos Cabos MX CH'!$C$15:$L$20,3),"")))))))</f>
        <v/>
      </c>
      <c r="W101" s="195" t="str">
        <f t="shared" si="30"/>
        <v/>
      </c>
      <c r="X101" s="195" t="str">
        <f t="shared" si="31"/>
        <v/>
      </c>
      <c r="Y101" s="196" t="str">
        <f t="shared" si="32"/>
        <v/>
      </c>
      <c r="AA101" s="396">
        <f t="shared" si="35"/>
        <v>0</v>
      </c>
      <c r="AB101" s="396">
        <f t="shared" si="40"/>
        <v>0</v>
      </c>
      <c r="AC101" s="395"/>
      <c r="AE101" s="357" t="str">
        <f t="shared" si="37"/>
        <v/>
      </c>
      <c r="AF101" s="426">
        <f t="shared" si="24"/>
        <v>0</v>
      </c>
      <c r="AO101" s="401"/>
      <c r="AP101" s="413">
        <v>520</v>
      </c>
      <c r="AQ101" s="413">
        <v>3.81</v>
      </c>
      <c r="AR101" s="403"/>
    </row>
    <row r="102" spans="1:44" ht="15" customHeight="1">
      <c r="A102" s="696"/>
      <c r="B102" s="698"/>
      <c r="C102" s="568"/>
      <c r="D102" s="368"/>
      <c r="E102" s="372"/>
      <c r="F102" s="357" t="str">
        <f t="shared" si="36"/>
        <v/>
      </c>
      <c r="G102" s="384"/>
      <c r="H102" s="190" t="str">
        <f>IF(AND(E102="",G102=""),"",SUM(F102:G105))</f>
        <v/>
      </c>
      <c r="I102" s="191"/>
      <c r="J102" s="222"/>
      <c r="K102" s="222"/>
      <c r="L102" s="197" t="str">
        <f>IF(J102="Duplex",VLOOKUP(M102,'Características dos Cabos M Lot'!$C$12:$I$14,7),(IF(J102="Triplex",VLOOKUP(M102,'Características dos Cabos M Lot'!$C$15:$J$20,8),(IF(J102="Quadruplex",VLOOKUP(M102,'Características dos Cabos M Lot'!$C$21:$K$27,9),(IF(J102="13",VLOOKUP(M102,'Características dos Cabos M Lot'!$C$15:$L$20,10),"")))))))</f>
        <v/>
      </c>
      <c r="M102" s="350" t="str">
        <f t="shared" si="38"/>
        <v/>
      </c>
      <c r="N102" s="377"/>
      <c r="O102" s="192" t="str">
        <f t="shared" si="34"/>
        <v/>
      </c>
      <c r="P102" s="192" t="str">
        <f>IF(O102="","",SUM($O$96:O102)+$Z$96)</f>
        <v/>
      </c>
      <c r="Q102" s="192" t="str">
        <f t="shared" si="39"/>
        <v/>
      </c>
      <c r="R102" s="193" t="str">
        <f>IF(J102="Duplex",VLOOKUP(M102,'Características dos Cabos MX CH'!$C$12:$I$14,5),(IF(J102="Triplex",VLOOKUP(M102,'Características dos Cabos MX CH'!$C$15:$J$20,5),(IF(J102="Quadruplex",VLOOKUP(M102,'Características dos Cabos MX CH'!$C$21:$K$27,5),(IF(J102="13",VLOOKUP(M102,'Características dos Cabos MX CH'!$C$15:$L$20,5),"")))))))</f>
        <v/>
      </c>
      <c r="S102" s="193" t="str">
        <f>IF(J102="Duplex",VLOOKUP(M102,'Características dos Cabos MX CH'!$C$12:$I$14,6),(IF(J102="Triplex",VLOOKUP(M102,'Características dos Cabos MX CH'!$C$15:$J$20,6),(IF(J102="Quadruplex",VLOOKUP(M102,'Características dos Cabos MX CH'!$C$21:$K$27,6),(IF(J102="13",VLOOKUP(M102,'Características dos Cabos MX CH'!$C$15:$L$20,6),"")))))))</f>
        <v/>
      </c>
      <c r="T102" s="194" t="str">
        <f t="shared" si="29"/>
        <v/>
      </c>
      <c r="U102" s="447" t="str">
        <f>IF(J102="Duplex",VLOOKUP(M102,'Características dos Cabos MX CH'!$C$12:$I$14,2),(IF(J102="Triplex",VLOOKUP(M102,'Características dos Cabos MX CH'!$C$15:$J$20,2),(IF(J102="Quadruplex",VLOOKUP(M102,'Características dos Cabos MX CH'!$C$21:$K$27,2),(IF(J102="13",VLOOKUP(M102,'Características dos Cabos MX CH'!$C$15:$L$20,2),"")))))))</f>
        <v/>
      </c>
      <c r="V102" s="193" t="str">
        <f>IF(J102="Duplex",VLOOKUP(M102,'Características dos Cabos MX CH'!$C$12:$I$14,3),(IF(J102="Triplex",VLOOKUP(M102,'Características dos Cabos MX CH'!$C$15:$J$20,3),(IF(J102="Quadruplex",VLOOKUP(M102,'Características dos Cabos MX CH'!$C$21:$K$27,3),(IF(J102="13",VLOOKUP(M102,'Características dos Cabos MX CH'!$C$15:$L$20,3),"")))))))</f>
        <v/>
      </c>
      <c r="W102" s="195" t="str">
        <f t="shared" si="30"/>
        <v/>
      </c>
      <c r="X102" s="195" t="str">
        <f t="shared" si="31"/>
        <v/>
      </c>
      <c r="Y102" s="196" t="str">
        <f t="shared" si="32"/>
        <v/>
      </c>
      <c r="AA102" s="396">
        <f t="shared" si="35"/>
        <v>0</v>
      </c>
      <c r="AB102" s="396">
        <f t="shared" si="40"/>
        <v>0</v>
      </c>
      <c r="AC102" s="395"/>
      <c r="AE102" s="357" t="str">
        <f t="shared" si="37"/>
        <v/>
      </c>
      <c r="AF102" s="426">
        <f t="shared" si="24"/>
        <v>0</v>
      </c>
      <c r="AO102" s="401"/>
      <c r="AP102" s="413">
        <v>530</v>
      </c>
      <c r="AQ102" s="413">
        <v>3.83</v>
      </c>
      <c r="AR102" s="403"/>
    </row>
    <row r="103" spans="1:44" ht="15" customHeight="1">
      <c r="A103" s="696"/>
      <c r="B103" s="698"/>
      <c r="C103" s="568"/>
      <c r="D103" s="368"/>
      <c r="E103" s="372"/>
      <c r="F103" s="357" t="str">
        <f t="shared" si="36"/>
        <v/>
      </c>
      <c r="G103" s="384"/>
      <c r="H103" s="190" t="str">
        <f>IF(AND(E103="",G103=""),"",SUM(F103:G105))</f>
        <v/>
      </c>
      <c r="I103" s="191"/>
      <c r="J103" s="222"/>
      <c r="K103" s="222"/>
      <c r="L103" s="197" t="str">
        <f>IF(J103="Duplex",VLOOKUP(M103,'Características dos Cabos M Lot'!$C$12:$I$14,7),(IF(J103="Triplex",VLOOKUP(M103,'Características dos Cabos M Lot'!$C$15:$J$20,8),(IF(J103="Quadruplex",VLOOKUP(M103,'Características dos Cabos M Lot'!$C$21:$K$27,9),(IF(J103="13",VLOOKUP(M103,'Características dos Cabos M Lot'!$C$15:$L$20,10),"")))))))</f>
        <v/>
      </c>
      <c r="M103" s="350" t="str">
        <f t="shared" si="38"/>
        <v/>
      </c>
      <c r="N103" s="377"/>
      <c r="O103" s="192" t="str">
        <f t="shared" si="34"/>
        <v/>
      </c>
      <c r="P103" s="192" t="str">
        <f>IF(O103="","",SUM($O$96:O103)+$Z$96)</f>
        <v/>
      </c>
      <c r="Q103" s="192" t="str">
        <f t="shared" si="39"/>
        <v/>
      </c>
      <c r="R103" s="193" t="str">
        <f>IF(J103="Duplex",VLOOKUP(M103,'Características dos Cabos MX CH'!$C$12:$I$14,5),(IF(J103="Triplex",VLOOKUP(M103,'Características dos Cabos MX CH'!$C$15:$J$20,5),(IF(J103="Quadruplex",VLOOKUP(M103,'Características dos Cabos MX CH'!$C$21:$K$27,5),(IF(J103="13",VLOOKUP(M103,'Características dos Cabos MX CH'!$C$15:$L$20,5),"")))))))</f>
        <v/>
      </c>
      <c r="S103" s="193" t="str">
        <f>IF(J103="Duplex",VLOOKUP(M103,'Características dos Cabos MX CH'!$C$12:$I$14,6),(IF(J103="Triplex",VLOOKUP(M103,'Características dos Cabos MX CH'!$C$15:$J$20,6),(IF(J103="Quadruplex",VLOOKUP(M103,'Características dos Cabos MX CH'!$C$21:$K$27,6),(IF(J103="13",VLOOKUP(M103,'Características dos Cabos MX CH'!$C$15:$L$20,6),"")))))))</f>
        <v/>
      </c>
      <c r="T103" s="194" t="str">
        <f t="shared" si="29"/>
        <v/>
      </c>
      <c r="U103" s="447" t="str">
        <f>IF(J103="Duplex",VLOOKUP(M103,'Características dos Cabos MX CH'!$C$12:$I$14,2),(IF(J103="Triplex",VLOOKUP(M103,'Características dos Cabos MX CH'!$C$15:$J$20,2),(IF(J103="Quadruplex",VLOOKUP(M103,'Características dos Cabos MX CH'!$C$21:$K$27,2),(IF(J103="13",VLOOKUP(M103,'Características dos Cabos MX CH'!$C$15:$L$20,2),"")))))))</f>
        <v/>
      </c>
      <c r="V103" s="193" t="str">
        <f>IF(J103="Duplex",VLOOKUP(M103,'Características dos Cabos MX CH'!$C$12:$I$14,3),(IF(J103="Triplex",VLOOKUP(M103,'Características dos Cabos MX CH'!$C$15:$J$20,3),(IF(J103="Quadruplex",VLOOKUP(M103,'Características dos Cabos MX CH'!$C$21:$K$27,3),(IF(J103="13",VLOOKUP(M103,'Características dos Cabos MX CH'!$C$15:$L$20,3),"")))))))</f>
        <v/>
      </c>
      <c r="W103" s="195" t="str">
        <f t="shared" si="30"/>
        <v/>
      </c>
      <c r="X103" s="195" t="str">
        <f t="shared" si="31"/>
        <v/>
      </c>
      <c r="Y103" s="196" t="str">
        <f t="shared" si="32"/>
        <v/>
      </c>
      <c r="AA103" s="396">
        <f t="shared" si="35"/>
        <v>0</v>
      </c>
      <c r="AB103" s="396">
        <f t="shared" si="40"/>
        <v>0</v>
      </c>
      <c r="AC103" s="395"/>
      <c r="AE103" s="357" t="str">
        <f t="shared" si="37"/>
        <v/>
      </c>
      <c r="AF103" s="426">
        <f t="shared" si="24"/>
        <v>0</v>
      </c>
      <c r="AO103" s="401"/>
      <c r="AP103" s="413">
        <v>540</v>
      </c>
      <c r="AQ103" s="413">
        <v>3.86</v>
      </c>
      <c r="AR103" s="403"/>
    </row>
    <row r="104" spans="1:44" ht="15" customHeight="1">
      <c r="A104" s="696"/>
      <c r="B104" s="698"/>
      <c r="C104" s="568"/>
      <c r="D104" s="368"/>
      <c r="E104" s="372"/>
      <c r="F104" s="357" t="str">
        <f t="shared" si="36"/>
        <v/>
      </c>
      <c r="G104" s="384"/>
      <c r="H104" s="190" t="str">
        <f>IF(AND(E104="",G104=""),"",SUM(F104:G105))</f>
        <v/>
      </c>
      <c r="I104" s="191"/>
      <c r="J104" s="222"/>
      <c r="K104" s="222"/>
      <c r="L104" s="197" t="str">
        <f>IF(J104="Duplex",VLOOKUP(M104,'Características dos Cabos M Lot'!$C$12:$I$14,7),(IF(J104="Triplex",VLOOKUP(M104,'Características dos Cabos M Lot'!$C$15:$J$20,8),(IF(J104="Quadruplex",VLOOKUP(M104,'Características dos Cabos M Lot'!$C$21:$K$27,9),(IF(J104="13",VLOOKUP(M104,'Características dos Cabos M Lot'!$C$15:$L$20,10),"")))))))</f>
        <v/>
      </c>
      <c r="M104" s="350" t="str">
        <f t="shared" si="38"/>
        <v/>
      </c>
      <c r="N104" s="377"/>
      <c r="O104" s="192" t="str">
        <f t="shared" si="34"/>
        <v/>
      </c>
      <c r="P104" s="192" t="str">
        <f>IF(O104="","",SUM($O$96:O104)+$Z$96)</f>
        <v/>
      </c>
      <c r="Q104" s="192" t="str">
        <f t="shared" si="39"/>
        <v/>
      </c>
      <c r="R104" s="193" t="str">
        <f>IF(J104="Duplex",VLOOKUP(M104,'Características dos Cabos MX CH'!$C$12:$I$14,5),(IF(J104="Triplex",VLOOKUP(M104,'Características dos Cabos MX CH'!$C$15:$J$20,5),(IF(J104="Quadruplex",VLOOKUP(M104,'Características dos Cabos MX CH'!$C$21:$K$27,5),(IF(J104="13",VLOOKUP(M104,'Características dos Cabos MX CH'!$C$15:$L$20,5),"")))))))</f>
        <v/>
      </c>
      <c r="S104" s="193" t="str">
        <f>IF(J104="Duplex",VLOOKUP(M104,'Características dos Cabos MX CH'!$C$12:$I$14,6),(IF(J104="Triplex",VLOOKUP(M104,'Características dos Cabos MX CH'!$C$15:$J$20,6),(IF(J104="Quadruplex",VLOOKUP(M104,'Características dos Cabos MX CH'!$C$21:$K$27,6),(IF(J104="13",VLOOKUP(M104,'Características dos Cabos MX CH'!$C$15:$L$20,6),"")))))))</f>
        <v/>
      </c>
      <c r="T104" s="194" t="str">
        <f t="shared" si="29"/>
        <v/>
      </c>
      <c r="U104" s="447" t="str">
        <f>IF(J104="Duplex",VLOOKUP(M104,'Características dos Cabos MX CH'!$C$12:$I$14,2),(IF(J104="Triplex",VLOOKUP(M104,'Características dos Cabos MX CH'!$C$15:$J$20,2),(IF(J104="Quadruplex",VLOOKUP(M104,'Características dos Cabos MX CH'!$C$21:$K$27,2),(IF(J104="13",VLOOKUP(M104,'Características dos Cabos MX CH'!$C$15:$L$20,2),"")))))))</f>
        <v/>
      </c>
      <c r="V104" s="193" t="str">
        <f>IF(J104="Duplex",VLOOKUP(M104,'Características dos Cabos MX CH'!$C$12:$I$14,3),(IF(J104="Triplex",VLOOKUP(M104,'Características dos Cabos MX CH'!$C$15:$J$20,3),(IF(J104="Quadruplex",VLOOKUP(M104,'Características dos Cabos MX CH'!$C$21:$K$27,3),(IF(J104="13",VLOOKUP(M104,'Características dos Cabos MX CH'!$C$15:$L$20,3),"")))))))</f>
        <v/>
      </c>
      <c r="W104" s="195" t="str">
        <f t="shared" si="30"/>
        <v/>
      </c>
      <c r="X104" s="195" t="str">
        <f t="shared" si="31"/>
        <v/>
      </c>
      <c r="Y104" s="196" t="str">
        <f t="shared" si="32"/>
        <v/>
      </c>
      <c r="AA104" s="396">
        <f t="shared" si="35"/>
        <v>0</v>
      </c>
      <c r="AB104" s="396">
        <f t="shared" si="40"/>
        <v>0</v>
      </c>
      <c r="AC104" s="395"/>
      <c r="AE104" s="357" t="str">
        <f t="shared" si="37"/>
        <v/>
      </c>
      <c r="AF104" s="426">
        <f t="shared" si="24"/>
        <v>0</v>
      </c>
      <c r="AO104" s="401"/>
      <c r="AP104" s="413">
        <v>550</v>
      </c>
      <c r="AQ104" s="413">
        <v>3.88</v>
      </c>
      <c r="AR104" s="403"/>
    </row>
    <row r="105" spans="1:44" ht="15" customHeight="1" thickBot="1">
      <c r="A105" s="696"/>
      <c r="B105" s="699"/>
      <c r="C105" s="570"/>
      <c r="D105" s="370"/>
      <c r="E105" s="369"/>
      <c r="F105" s="461" t="str">
        <f t="shared" si="36"/>
        <v/>
      </c>
      <c r="G105" s="385"/>
      <c r="H105" s="200" t="str">
        <f>IF(AND(E105="",G105=""),"",SUM(F105:G105))</f>
        <v/>
      </c>
      <c r="I105" s="201"/>
      <c r="J105" s="223"/>
      <c r="K105" s="223"/>
      <c r="L105" s="202" t="str">
        <f>IF(J105="Duplex",VLOOKUP(M105,'Características dos Cabos M Lot'!$C$12:$I$14,7),(IF(J105="Triplex",VLOOKUP(M105,'Características dos Cabos M Lot'!$C$15:$J$20,8),(IF(J105="Quadruplex",VLOOKUP(M105,'Características dos Cabos M Lot'!$C$21:$K$27,9),(IF(J105="13",VLOOKUP(M105,'Características dos Cabos M Lot'!$C$15:$L$20,10),"")))))))</f>
        <v/>
      </c>
      <c r="M105" s="353" t="str">
        <f t="shared" si="38"/>
        <v/>
      </c>
      <c r="N105" s="378"/>
      <c r="O105" s="203" t="str">
        <f t="shared" si="34"/>
        <v/>
      </c>
      <c r="P105" s="203" t="str">
        <f>IF(O105="","",SUM($O$96:O105)+$Z$96)</f>
        <v/>
      </c>
      <c r="Q105" s="203" t="str">
        <f t="shared" si="39"/>
        <v/>
      </c>
      <c r="R105" s="204" t="str">
        <f>IF(J105="Duplex",VLOOKUP(M105,'Características dos Cabos MX CH'!$C$12:$I$14,5),(IF(J105="Triplex",VLOOKUP(M105,'Características dos Cabos MX CH'!$C$15:$J$20,5),(IF(J105="Quadruplex",VLOOKUP(M105,'Características dos Cabos MX CH'!$C$21:$K$27,5),(IF(J105="13",VLOOKUP(M105,'Características dos Cabos MX CH'!$C$15:$L$20,5),"")))))))</f>
        <v/>
      </c>
      <c r="S105" s="204" t="str">
        <f>IF(J105="Duplex",VLOOKUP(M105,'Características dos Cabos MX CH'!$C$12:$I$14,6),(IF(J105="Triplex",VLOOKUP(M105,'Características dos Cabos MX CH'!$C$15:$J$20,6),(IF(J105="Quadruplex",VLOOKUP(M105,'Características dos Cabos MX CH'!$C$21:$K$27,6),(IF(J105="13",VLOOKUP(M105,'Características dos Cabos MX CH'!$C$15:$L$20,6),"")))))))</f>
        <v/>
      </c>
      <c r="T105" s="561" t="str">
        <f t="shared" si="29"/>
        <v/>
      </c>
      <c r="U105" s="448" t="str">
        <f>IF(J105="Duplex",VLOOKUP(M105,'Características dos Cabos MX CH'!$C$12:$I$14,2),(IF(J105="Triplex",VLOOKUP(M105,'Características dos Cabos MX CH'!$C$15:$J$20,2),(IF(J105="Quadruplex",VLOOKUP(M105,'Características dos Cabos MX CH'!$C$21:$K$27,2),(IF(J105="13",VLOOKUP(M105,'Características dos Cabos MX CH'!$C$15:$L$20,2),"")))))))</f>
        <v/>
      </c>
      <c r="V105" s="204" t="str">
        <f>IF(J105="Duplex",VLOOKUP(M105,'Características dos Cabos MX CH'!$C$12:$I$14,3),(IF(J105="Triplex",VLOOKUP(M105,'Características dos Cabos MX CH'!$C$15:$J$20,3),(IF(J105="Quadruplex",VLOOKUP(M105,'Características dos Cabos MX CH'!$C$21:$K$27,3),(IF(J105="13",VLOOKUP(M105,'Características dos Cabos MX CH'!$C$15:$L$20,3),"")))))))</f>
        <v/>
      </c>
      <c r="W105" s="206" t="str">
        <f t="shared" si="30"/>
        <v/>
      </c>
      <c r="X105" s="206" t="str">
        <f t="shared" si="31"/>
        <v/>
      </c>
      <c r="Y105" s="207" t="str">
        <f t="shared" si="32"/>
        <v/>
      </c>
      <c r="AA105" s="396">
        <f t="shared" si="35"/>
        <v>0</v>
      </c>
      <c r="AB105" s="396">
        <f t="shared" si="40"/>
        <v>0</v>
      </c>
      <c r="AC105" s="395"/>
      <c r="AE105" s="357" t="str">
        <f t="shared" si="37"/>
        <v/>
      </c>
      <c r="AF105" s="426">
        <f t="shared" si="24"/>
        <v>0</v>
      </c>
      <c r="AO105" s="401"/>
      <c r="AP105" s="413">
        <v>560</v>
      </c>
      <c r="AQ105" s="413">
        <v>3.90</v>
      </c>
      <c r="AR105" s="403"/>
    </row>
    <row r="106" spans="1:44" ht="15" customHeight="1" thickTop="1">
      <c r="A106" s="696"/>
      <c r="B106" s="700" t="str">
        <f>CONCATENATE("Ramal 7 - Derivando no ponto ",C106)</f>
        <v xml:space="preserve">Ramal 7 - Derivando no ponto </v>
      </c>
      <c r="C106" s="571"/>
      <c r="D106" s="371"/>
      <c r="E106" s="374"/>
      <c r="F106" s="459" t="str">
        <f t="shared" si="36"/>
        <v/>
      </c>
      <c r="G106" s="386"/>
      <c r="H106" s="209" t="str">
        <f>IF(AND(E106="",G106=""),"",SUM(F106:G115))</f>
        <v/>
      </c>
      <c r="I106" s="210"/>
      <c r="J106" s="224"/>
      <c r="K106" s="224"/>
      <c r="L106" s="211" t="str">
        <f>IF(J106="Duplex",VLOOKUP(M106,'Características dos Cabos M Lot'!$C$12:$I$14,7),(IF(J106="Triplex",VLOOKUP(M106,'Características dos Cabos M Lot'!$C$15:$J$20,8),(IF(J106="Quadruplex",VLOOKUP(M106,'Características dos Cabos M Lot'!$C$21:$K$27,9),(IF(J106="13",VLOOKUP(M106,'Características dos Cabos M Lot'!$C$15:$L$20,10),"")))))))</f>
        <v/>
      </c>
      <c r="M106" s="354" t="str">
        <f t="shared" si="38"/>
        <v/>
      </c>
      <c r="N106" s="379"/>
      <c r="O106" s="212" t="str">
        <f t="shared" si="34"/>
        <v/>
      </c>
      <c r="P106" s="212" t="str">
        <f>IF(O106="","",O106+VLOOKUP(C106,$D$20:$Q$105,13,FALSE))</f>
        <v/>
      </c>
      <c r="Q106" s="212" t="str">
        <f t="shared" si="39"/>
        <v/>
      </c>
      <c r="R106" s="213" t="str">
        <f>IF(J106="Duplex",VLOOKUP(M106,'Características dos Cabos MX CH'!$C$12:$I$14,5),(IF(J106="Triplex",VLOOKUP(M106,'Características dos Cabos MX CH'!$C$15:$J$20,5),(IF(J106="Quadruplex",VLOOKUP(M106,'Características dos Cabos MX CH'!$C$21:$K$27,5),(IF(J106="13",VLOOKUP(M106,'Características dos Cabos MX CH'!$C$15:$L$20,5),"")))))))</f>
        <v/>
      </c>
      <c r="S106" s="213" t="str">
        <f>IF(J106="Duplex",VLOOKUP(M106,'Características dos Cabos MX CH'!$C$12:$I$14,6),(IF(J106="Triplex",VLOOKUP(M106,'Características dos Cabos MX CH'!$C$15:$J$20,6),(IF(J106="Quadruplex",VLOOKUP(M106,'Características dos Cabos MX CH'!$C$21:$K$27,6),(IF(J106="13",VLOOKUP(M106,'Características dos Cabos MX CH'!$C$15:$L$20,6),"")))))))</f>
        <v/>
      </c>
      <c r="T106" s="214" t="str">
        <f t="shared" si="29"/>
        <v/>
      </c>
      <c r="U106" s="450" t="str">
        <f>IF(J106="Duplex",VLOOKUP(M106,'Características dos Cabos MX CH'!$C$12:$I$14,2),(IF(J106="Triplex",VLOOKUP(M106,'Características dos Cabos MX CH'!$C$15:$J$20,2),(IF(J106="Quadruplex",VLOOKUP(M106,'Características dos Cabos MX CH'!$C$21:$K$27,2),(IF(J106="13",VLOOKUP(M106,'Características dos Cabos MX CH'!$C$15:$L$20,2),"")))))))</f>
        <v/>
      </c>
      <c r="V106" s="213" t="str">
        <f>IF(J106="Duplex",VLOOKUP(M106,'Características dos Cabos MX CH'!$C$12:$I$14,3),(IF(J106="Triplex",VLOOKUP(M106,'Características dos Cabos MX CH'!$C$15:$J$20,3),(IF(J106="Quadruplex",VLOOKUP(M106,'Características dos Cabos MX CH'!$C$21:$K$27,3),(IF(J106="13",VLOOKUP(M106,'Características dos Cabos MX CH'!$C$15:$L$20,3),"")))))))</f>
        <v/>
      </c>
      <c r="W106" s="215" t="str">
        <f t="shared" si="30"/>
        <v/>
      </c>
      <c r="X106" s="215" t="str">
        <f t="shared" si="31"/>
        <v/>
      </c>
      <c r="Y106" s="216" t="str">
        <f t="shared" si="32"/>
        <v/>
      </c>
      <c r="Z106" s="393" t="str">
        <f>IF(O106="","",VLOOKUP(C106,$D$20:$P$105,13,FALSE))</f>
        <v/>
      </c>
      <c r="AA106" s="396">
        <f t="shared" si="35"/>
        <v>0</v>
      </c>
      <c r="AB106" s="396">
        <f t="shared" si="40"/>
        <v>0</v>
      </c>
      <c r="AC106" s="395"/>
      <c r="AE106" s="357" t="str">
        <f t="shared" si="37"/>
        <v/>
      </c>
      <c r="AF106" s="426">
        <f t="shared" si="24"/>
        <v>0</v>
      </c>
      <c r="AO106" s="401"/>
      <c r="AP106" s="413">
        <v>570</v>
      </c>
      <c r="AQ106" s="413">
        <v>3.93</v>
      </c>
      <c r="AR106" s="403"/>
    </row>
    <row r="107" spans="1:44" ht="15" customHeight="1">
      <c r="A107" s="696"/>
      <c r="B107" s="698"/>
      <c r="C107" s="568"/>
      <c r="D107" s="368"/>
      <c r="E107" s="372"/>
      <c r="F107" s="357" t="str">
        <f t="shared" si="36"/>
        <v/>
      </c>
      <c r="G107" s="384"/>
      <c r="H107" s="190" t="str">
        <f>IF(AND(E107="",G107=""),"",SUM(F107:G115))</f>
        <v/>
      </c>
      <c r="I107" s="191"/>
      <c r="J107" s="222"/>
      <c r="K107" s="222"/>
      <c r="L107" s="197" t="str">
        <f>IF(J107="Duplex",VLOOKUP(M107,'Características dos Cabos M Lot'!$C$12:$I$14,7),(IF(J107="Triplex",VLOOKUP(M107,'Características dos Cabos M Lot'!$C$15:$J$20,8),(IF(J107="Quadruplex",VLOOKUP(M107,'Características dos Cabos M Lot'!$C$21:$K$27,9),(IF(J107="13",VLOOKUP(M107,'Características dos Cabos M Lot'!$C$15:$L$20,10),"")))))))</f>
        <v/>
      </c>
      <c r="M107" s="350" t="str">
        <f t="shared" si="38"/>
        <v/>
      </c>
      <c r="N107" s="377"/>
      <c r="O107" s="192" t="str">
        <f t="shared" si="34"/>
        <v/>
      </c>
      <c r="P107" s="192" t="str">
        <f>IF(O107="","",SUM($O$106:O107)+$Z$106)</f>
        <v/>
      </c>
      <c r="Q107" s="192" t="str">
        <f t="shared" si="39"/>
        <v/>
      </c>
      <c r="R107" s="193" t="str">
        <f>IF(J107="Duplex",VLOOKUP(M107,'Características dos Cabos MX CH'!$C$12:$I$14,5),(IF(J107="Triplex",VLOOKUP(M107,'Características dos Cabos MX CH'!$C$15:$J$20,5),(IF(J107="Quadruplex",VLOOKUP(M107,'Características dos Cabos MX CH'!$C$21:$K$27,5),(IF(J107="13",VLOOKUP(M107,'Características dos Cabos MX CH'!$C$15:$L$20,5),"")))))))</f>
        <v/>
      </c>
      <c r="S107" s="193" t="str">
        <f>IF(J107="Duplex",VLOOKUP(M107,'Características dos Cabos MX CH'!$C$12:$I$14,6),(IF(J107="Triplex",VLOOKUP(M107,'Características dos Cabos MX CH'!$C$15:$J$20,6),(IF(J107="Quadruplex",VLOOKUP(M107,'Características dos Cabos MX CH'!$C$21:$K$27,6),(IF(J107="13",VLOOKUP(M107,'Características dos Cabos MX CH'!$C$15:$L$20,6),"")))))))</f>
        <v/>
      </c>
      <c r="T107" s="194" t="str">
        <f t="shared" si="29"/>
        <v/>
      </c>
      <c r="U107" s="447" t="str">
        <f>IF(J107="Duplex",VLOOKUP(M107,'Características dos Cabos MX CH'!$C$12:$I$14,2),(IF(J107="Triplex",VLOOKUP(M107,'Características dos Cabos MX CH'!$C$15:$J$20,2),(IF(J107="Quadruplex",VLOOKUP(M107,'Características dos Cabos MX CH'!$C$21:$K$27,2),(IF(J107="13",VLOOKUP(M107,'Características dos Cabos MX CH'!$C$15:$L$20,2),"")))))))</f>
        <v/>
      </c>
      <c r="V107" s="193" t="str">
        <f>IF(J107="Duplex",VLOOKUP(M107,'Características dos Cabos MX CH'!$C$12:$I$14,3),(IF(J107="Triplex",VLOOKUP(M107,'Características dos Cabos MX CH'!$C$15:$J$20,3),(IF(J107="Quadruplex",VLOOKUP(M107,'Características dos Cabos MX CH'!$C$21:$K$27,3),(IF(J107="13",VLOOKUP(M107,'Características dos Cabos MX CH'!$C$15:$L$20,3),"")))))))</f>
        <v/>
      </c>
      <c r="W107" s="195" t="str">
        <f t="shared" si="30"/>
        <v/>
      </c>
      <c r="X107" s="195" t="str">
        <f t="shared" si="31"/>
        <v/>
      </c>
      <c r="Y107" s="196" t="str">
        <f t="shared" si="32"/>
        <v/>
      </c>
      <c r="AA107" s="396">
        <f t="shared" si="35"/>
        <v>0</v>
      </c>
      <c r="AB107" s="396">
        <f t="shared" si="40"/>
        <v>0</v>
      </c>
      <c r="AC107" s="395"/>
      <c r="AE107" s="357" t="str">
        <f t="shared" si="37"/>
        <v/>
      </c>
      <c r="AF107" s="426">
        <f t="shared" si="24"/>
        <v>0</v>
      </c>
      <c r="AO107" s="401"/>
      <c r="AP107" s="413">
        <v>580</v>
      </c>
      <c r="AQ107" s="413">
        <v>3.95</v>
      </c>
      <c r="AR107" s="403"/>
    </row>
    <row r="108" spans="1:44" ht="15" customHeight="1">
      <c r="A108" s="696"/>
      <c r="B108" s="698"/>
      <c r="C108" s="568"/>
      <c r="D108" s="368"/>
      <c r="E108" s="372"/>
      <c r="F108" s="357" t="str">
        <f t="shared" si="36"/>
        <v/>
      </c>
      <c r="G108" s="384"/>
      <c r="H108" s="190" t="str">
        <f>IF(AND(E108="",G108=""),"",SUM(F108:G115))</f>
        <v/>
      </c>
      <c r="I108" s="191"/>
      <c r="J108" s="222"/>
      <c r="K108" s="222"/>
      <c r="L108" s="197" t="str">
        <f>IF(J108="Duplex",VLOOKUP(M108,'Características dos Cabos M Lot'!$C$12:$I$14,7),(IF(J108="Triplex",VLOOKUP(M108,'Características dos Cabos M Lot'!$C$15:$J$20,8),(IF(J108="Quadruplex",VLOOKUP(M108,'Características dos Cabos M Lot'!$C$21:$K$27,9),(IF(J108="13",VLOOKUP(M108,'Características dos Cabos M Lot'!$C$15:$L$20,10),"")))))))</f>
        <v/>
      </c>
      <c r="M108" s="350" t="str">
        <f t="shared" si="38"/>
        <v/>
      </c>
      <c r="N108" s="377"/>
      <c r="O108" s="192" t="str">
        <f t="shared" si="34"/>
        <v/>
      </c>
      <c r="P108" s="192" t="str">
        <f>IF(O108="","",SUM($O$106:O108)+$Z$106)</f>
        <v/>
      </c>
      <c r="Q108" s="192" t="str">
        <f t="shared" si="39"/>
        <v/>
      </c>
      <c r="R108" s="193" t="str">
        <f>IF(J108="Duplex",VLOOKUP(M108,'Características dos Cabos MX CH'!$C$12:$I$14,5),(IF(J108="Triplex",VLOOKUP(M108,'Características dos Cabos MX CH'!$C$15:$J$20,5),(IF(J108="Quadruplex",VLOOKUP(M108,'Características dos Cabos MX CH'!$C$21:$K$27,5),(IF(J108="13",VLOOKUP(M108,'Características dos Cabos MX CH'!$C$15:$L$20,5),"")))))))</f>
        <v/>
      </c>
      <c r="S108" s="193" t="str">
        <f>IF(J108="Duplex",VLOOKUP(M108,'Características dos Cabos MX CH'!$C$12:$I$14,6),(IF(J108="Triplex",VLOOKUP(M108,'Características dos Cabos MX CH'!$C$15:$J$20,6),(IF(J108="Quadruplex",VLOOKUP(M108,'Características dos Cabos MX CH'!$C$21:$K$27,6),(IF(J108="13",VLOOKUP(M108,'Características dos Cabos MX CH'!$C$15:$L$20,6),"")))))))</f>
        <v/>
      </c>
      <c r="T108" s="194" t="str">
        <f t="shared" si="29"/>
        <v/>
      </c>
      <c r="U108" s="447" t="str">
        <f>IF(J108="Duplex",VLOOKUP(M108,'Características dos Cabos MX CH'!$C$12:$I$14,2),(IF(J108="Triplex",VLOOKUP(M108,'Características dos Cabos MX CH'!$C$15:$J$20,2),(IF(J108="Quadruplex",VLOOKUP(M108,'Características dos Cabos MX CH'!$C$21:$K$27,2),(IF(J108="13",VLOOKUP(M108,'Características dos Cabos MX CH'!$C$15:$L$20,2),"")))))))</f>
        <v/>
      </c>
      <c r="V108" s="193" t="str">
        <f>IF(J108="Duplex",VLOOKUP(M108,'Características dos Cabos MX CH'!$C$12:$I$14,3),(IF(J108="Triplex",VLOOKUP(M108,'Características dos Cabos MX CH'!$C$15:$J$20,3),(IF(J108="Quadruplex",VLOOKUP(M108,'Características dos Cabos MX CH'!$C$21:$K$27,3),(IF(J108="13",VLOOKUP(M108,'Características dos Cabos MX CH'!$C$15:$L$20,3),"")))))))</f>
        <v/>
      </c>
      <c r="W108" s="195" t="str">
        <f t="shared" si="30"/>
        <v/>
      </c>
      <c r="X108" s="195" t="str">
        <f t="shared" si="31"/>
        <v/>
      </c>
      <c r="Y108" s="196" t="str">
        <f t="shared" si="32"/>
        <v/>
      </c>
      <c r="AA108" s="396">
        <f t="shared" si="35"/>
        <v>0</v>
      </c>
      <c r="AB108" s="396">
        <f t="shared" si="40"/>
        <v>0</v>
      </c>
      <c r="AC108" s="395"/>
      <c r="AE108" s="357" t="str">
        <f t="shared" si="37"/>
        <v/>
      </c>
      <c r="AF108" s="426">
        <f t="shared" si="24"/>
        <v>0</v>
      </c>
      <c r="AO108" s="401"/>
      <c r="AP108" s="413">
        <v>590</v>
      </c>
      <c r="AQ108" s="413">
        <v>3.98</v>
      </c>
      <c r="AR108" s="403"/>
    </row>
    <row r="109" spans="1:44" ht="15" customHeight="1">
      <c r="A109" s="696"/>
      <c r="B109" s="698"/>
      <c r="C109" s="568"/>
      <c r="D109" s="368"/>
      <c r="E109" s="372"/>
      <c r="F109" s="357" t="str">
        <f t="shared" si="36"/>
        <v/>
      </c>
      <c r="G109" s="384"/>
      <c r="H109" s="190" t="str">
        <f>IF(AND(E109="",G109=""),"",SUM(F109:G115))</f>
        <v/>
      </c>
      <c r="I109" s="191"/>
      <c r="J109" s="222"/>
      <c r="K109" s="222"/>
      <c r="L109" s="197" t="str">
        <f>IF(J109="Duplex",VLOOKUP(M109,'Características dos Cabos M Lot'!$C$12:$I$14,7),(IF(J109="Triplex",VLOOKUP(M109,'Características dos Cabos M Lot'!$C$15:$J$20,8),(IF(J109="Quadruplex",VLOOKUP(M109,'Características dos Cabos M Lot'!$C$21:$K$27,9),(IF(J109="13",VLOOKUP(M109,'Características dos Cabos M Lot'!$C$15:$L$20,10),"")))))))</f>
        <v/>
      </c>
      <c r="M109" s="350" t="str">
        <f t="shared" si="38"/>
        <v/>
      </c>
      <c r="N109" s="377"/>
      <c r="O109" s="192" t="str">
        <f t="shared" si="34"/>
        <v/>
      </c>
      <c r="P109" s="192" t="str">
        <f>IF(O109="","",SUM($O$106:O109)+$Z$106)</f>
        <v/>
      </c>
      <c r="Q109" s="192" t="str">
        <f t="shared" si="39"/>
        <v/>
      </c>
      <c r="R109" s="193" t="str">
        <f>IF(J109="Duplex",VLOOKUP(M109,'Características dos Cabos MX CH'!$C$12:$I$14,5),(IF(J109="Triplex",VLOOKUP(M109,'Características dos Cabos MX CH'!$C$15:$J$20,5),(IF(J109="Quadruplex",VLOOKUP(M109,'Características dos Cabos MX CH'!$C$21:$K$27,5),(IF(J109="13",VLOOKUP(M109,'Características dos Cabos MX CH'!$C$15:$L$20,5),"")))))))</f>
        <v/>
      </c>
      <c r="S109" s="193" t="str">
        <f>IF(J109="Duplex",VLOOKUP(M109,'Características dos Cabos MX CH'!$C$12:$I$14,6),(IF(J109="Triplex",VLOOKUP(M109,'Características dos Cabos MX CH'!$C$15:$J$20,6),(IF(J109="Quadruplex",VLOOKUP(M109,'Características dos Cabos MX CH'!$C$21:$K$27,6),(IF(J109="13",VLOOKUP(M109,'Características dos Cabos MX CH'!$C$15:$L$20,6),"")))))))</f>
        <v/>
      </c>
      <c r="T109" s="194" t="str">
        <f t="shared" si="29"/>
        <v/>
      </c>
      <c r="U109" s="447" t="str">
        <f>IF(J109="Duplex",VLOOKUP(M109,'Características dos Cabos MX CH'!$C$12:$I$14,2),(IF(J109="Triplex",VLOOKUP(M109,'Características dos Cabos MX CH'!$C$15:$J$20,2),(IF(J109="Quadruplex",VLOOKUP(M109,'Características dos Cabos MX CH'!$C$21:$K$27,2),(IF(J109="13",VLOOKUP(M109,'Características dos Cabos MX CH'!$C$15:$L$20,2),"")))))))</f>
        <v/>
      </c>
      <c r="V109" s="193" t="str">
        <f>IF(J109="Duplex",VLOOKUP(M109,'Características dos Cabos MX CH'!$C$12:$I$14,3),(IF(J109="Triplex",VLOOKUP(M109,'Características dos Cabos MX CH'!$C$15:$J$20,3),(IF(J109="Quadruplex",VLOOKUP(M109,'Características dos Cabos MX CH'!$C$21:$K$27,3),(IF(J109="13",VLOOKUP(M109,'Características dos Cabos MX CH'!$C$15:$L$20,3),"")))))))</f>
        <v/>
      </c>
      <c r="W109" s="195" t="str">
        <f t="shared" si="30"/>
        <v/>
      </c>
      <c r="X109" s="195" t="str">
        <f t="shared" si="31"/>
        <v/>
      </c>
      <c r="Y109" s="196" t="str">
        <f t="shared" si="32"/>
        <v/>
      </c>
      <c r="AA109" s="396">
        <f t="shared" si="35"/>
        <v>0</v>
      </c>
      <c r="AB109" s="396">
        <f t="shared" si="40"/>
        <v>0</v>
      </c>
      <c r="AC109" s="395"/>
      <c r="AE109" s="357" t="str">
        <f t="shared" si="37"/>
        <v/>
      </c>
      <c r="AF109" s="426">
        <f t="shared" si="41" ref="AF109:AF172">G109</f>
        <v>0</v>
      </c>
      <c r="AO109" s="401"/>
      <c r="AP109" s="413">
        <v>601</v>
      </c>
      <c r="AQ109" s="413">
        <v>4</v>
      </c>
      <c r="AR109" s="403"/>
    </row>
    <row r="110" spans="1:44" ht="15" customHeight="1">
      <c r="A110" s="696"/>
      <c r="B110" s="698"/>
      <c r="C110" s="568"/>
      <c r="D110" s="368"/>
      <c r="E110" s="372"/>
      <c r="F110" s="357" t="str">
        <f t="shared" si="36"/>
        <v/>
      </c>
      <c r="G110" s="384"/>
      <c r="H110" s="190" t="str">
        <f>IF(AND(E110="",G110=""),"",SUM(F110:G115))</f>
        <v/>
      </c>
      <c r="I110" s="191"/>
      <c r="J110" s="222"/>
      <c r="K110" s="222"/>
      <c r="L110" s="197" t="str">
        <f>IF(J110="Duplex",VLOOKUP(M110,'Características dos Cabos M Lot'!$C$12:$I$14,7),(IF(J110="Triplex",VLOOKUP(M110,'Características dos Cabos M Lot'!$C$15:$J$20,8),(IF(J110="Quadruplex",VLOOKUP(M110,'Características dos Cabos M Lot'!$C$21:$K$27,9),(IF(J110="13",VLOOKUP(M110,'Características dos Cabos M Lot'!$C$15:$L$20,10),"")))))))</f>
        <v/>
      </c>
      <c r="M110" s="350" t="str">
        <f t="shared" si="38"/>
        <v/>
      </c>
      <c r="N110" s="377"/>
      <c r="O110" s="192" t="str">
        <f t="shared" si="42" ref="O110:O141">IF(OR(N110="",L110="",H110=""),"",N110*L110*H110)</f>
        <v/>
      </c>
      <c r="P110" s="192" t="str">
        <f>IF(O110="","",SUM($O$106:O110)+$Z$106)</f>
        <v/>
      </c>
      <c r="Q110" s="192" t="str">
        <f t="shared" si="39"/>
        <v/>
      </c>
      <c r="R110" s="193" t="str">
        <f>IF(J110="Duplex",VLOOKUP(M110,'Características dos Cabos MX CH'!$C$12:$I$14,5),(IF(J110="Triplex",VLOOKUP(M110,'Características dos Cabos MX CH'!$C$15:$J$20,5),(IF(J110="Quadruplex",VLOOKUP(M110,'Características dos Cabos MX CH'!$C$21:$K$27,5),(IF(J110="13",VLOOKUP(M110,'Características dos Cabos MX CH'!$C$15:$L$20,5),"")))))))</f>
        <v/>
      </c>
      <c r="S110" s="193" t="str">
        <f>IF(J110="Duplex",VLOOKUP(M110,'Características dos Cabos MX CH'!$C$12:$I$14,6),(IF(J110="Triplex",VLOOKUP(M110,'Características dos Cabos MX CH'!$C$15:$J$20,6),(IF(J110="Quadruplex",VLOOKUP(M110,'Características dos Cabos MX CH'!$C$21:$K$27,6),(IF(J110="13",VLOOKUP(M110,'Características dos Cabos MX CH'!$C$15:$L$20,6),"")))))))</f>
        <v/>
      </c>
      <c r="T110" s="194" t="str">
        <f t="shared" si="29"/>
        <v/>
      </c>
      <c r="U110" s="447" t="str">
        <f>IF(J110="Duplex",VLOOKUP(M110,'Características dos Cabos MX CH'!$C$12:$I$14,2),(IF(J110="Triplex",VLOOKUP(M110,'Características dos Cabos MX CH'!$C$15:$J$20,2),(IF(J110="Quadruplex",VLOOKUP(M110,'Características dos Cabos MX CH'!$C$21:$K$27,2),(IF(J110="13",VLOOKUP(M110,'Características dos Cabos MX CH'!$C$15:$L$20,2),"")))))))</f>
        <v/>
      </c>
      <c r="V110" s="193" t="str">
        <f>IF(J110="Duplex",VLOOKUP(M110,'Características dos Cabos MX CH'!$C$12:$I$14,3),(IF(J110="Triplex",VLOOKUP(M110,'Características dos Cabos MX CH'!$C$15:$J$20,3),(IF(J110="Quadruplex",VLOOKUP(M110,'Características dos Cabos MX CH'!$C$21:$K$27,3),(IF(J110="13",VLOOKUP(M110,'Características dos Cabos MX CH'!$C$15:$L$20,3),"")))))))</f>
        <v/>
      </c>
      <c r="W110" s="195" t="str">
        <f t="shared" si="30"/>
        <v/>
      </c>
      <c r="X110" s="195" t="str">
        <f t="shared" si="31"/>
        <v/>
      </c>
      <c r="Y110" s="196" t="str">
        <f t="shared" si="32"/>
        <v/>
      </c>
      <c r="AA110" s="396">
        <f t="shared" si="43" ref="AA110:AA141">D110</f>
        <v>0</v>
      </c>
      <c r="AB110" s="396">
        <f t="shared" si="40"/>
        <v>0</v>
      </c>
      <c r="AC110" s="395"/>
      <c r="AE110" s="357" t="str">
        <f t="shared" si="37"/>
        <v/>
      </c>
      <c r="AF110" s="426">
        <f t="shared" si="41"/>
        <v>0</v>
      </c>
      <c r="AO110" s="401"/>
      <c r="AP110" s="413">
        <v>1200</v>
      </c>
      <c r="AQ110" s="413">
        <v>7</v>
      </c>
      <c r="AR110" s="403"/>
    </row>
    <row r="111" spans="1:44" ht="15" customHeight="1">
      <c r="A111" s="696"/>
      <c r="B111" s="698"/>
      <c r="C111" s="568"/>
      <c r="D111" s="368"/>
      <c r="E111" s="372"/>
      <c r="F111" s="357" t="str">
        <f t="shared" si="36"/>
        <v/>
      </c>
      <c r="G111" s="384"/>
      <c r="H111" s="190" t="str">
        <f>IF(AND(E111="",G111=""),"",SUM(F111:G115))</f>
        <v/>
      </c>
      <c r="I111" s="191"/>
      <c r="J111" s="222"/>
      <c r="K111" s="222"/>
      <c r="L111" s="197" t="str">
        <f>IF(J111="Duplex",VLOOKUP(M111,'Características dos Cabos M Lot'!$C$12:$I$14,7),(IF(J111="Triplex",VLOOKUP(M111,'Características dos Cabos M Lot'!$C$15:$J$20,8),(IF(J111="Quadruplex",VLOOKUP(M111,'Características dos Cabos M Lot'!$C$21:$K$27,9),(IF(J111="13",VLOOKUP(M111,'Características dos Cabos M Lot'!$C$15:$L$20,10),"")))))))</f>
        <v/>
      </c>
      <c r="M111" s="350" t="str">
        <f t="shared" si="38"/>
        <v/>
      </c>
      <c r="N111" s="377"/>
      <c r="O111" s="192" t="str">
        <f t="shared" si="42"/>
        <v/>
      </c>
      <c r="P111" s="192" t="str">
        <f>IF(O111="","",SUM($O$106:O111)+$Z$106)</f>
        <v/>
      </c>
      <c r="Q111" s="192" t="str">
        <f t="shared" si="39"/>
        <v/>
      </c>
      <c r="R111" s="193" t="str">
        <f>IF(J111="Duplex",VLOOKUP(M111,'Características dos Cabos MX CH'!$C$12:$I$14,5),(IF(J111="Triplex",VLOOKUP(M111,'Características dos Cabos MX CH'!$C$15:$J$20,5),(IF(J111="Quadruplex",VLOOKUP(M111,'Características dos Cabos MX CH'!$C$21:$K$27,5),(IF(J111="13",VLOOKUP(M111,'Características dos Cabos MX CH'!$C$15:$L$20,5),"")))))))</f>
        <v/>
      </c>
      <c r="S111" s="193" t="str">
        <f>IF(J111="Duplex",VLOOKUP(M111,'Características dos Cabos MX CH'!$C$12:$I$14,6),(IF(J111="Triplex",VLOOKUP(M111,'Características dos Cabos MX CH'!$C$15:$J$20,6),(IF(J111="Quadruplex",VLOOKUP(M111,'Características dos Cabos MX CH'!$C$21:$K$27,6),(IF(J111="13",VLOOKUP(M111,'Características dos Cabos MX CH'!$C$15:$L$20,6),"")))))))</f>
        <v/>
      </c>
      <c r="T111" s="194" t="str">
        <f t="shared" si="44" ref="T111:T174">IF(OR(Q111="",R111="",S111=""),"",IF(OR($L$11="PE",$L$11="pe"),Q111/R111,IF(OR($L$11="XLPE",$L$11="xlpe"),Q111/S111,"")))</f>
        <v/>
      </c>
      <c r="U111" s="447" t="str">
        <f>IF(J111="Duplex",VLOOKUP(M111,'Características dos Cabos MX CH'!$C$12:$I$14,2),(IF(J111="Triplex",VLOOKUP(M111,'Características dos Cabos MX CH'!$C$15:$J$20,2),(IF(J111="Quadruplex",VLOOKUP(M111,'Características dos Cabos MX CH'!$C$21:$K$27,2),(IF(J111="13",VLOOKUP(M111,'Características dos Cabos MX CH'!$C$15:$L$20,2),"")))))))</f>
        <v/>
      </c>
      <c r="V111" s="193" t="str">
        <f>IF(J111="Duplex",VLOOKUP(M111,'Características dos Cabos MX CH'!$C$12:$I$14,3),(IF(J111="Triplex",VLOOKUP(M111,'Características dos Cabos MX CH'!$C$15:$J$20,3),(IF(J111="Quadruplex",VLOOKUP(M111,'Características dos Cabos MX CH'!$C$21:$K$27,3),(IF(J111="13",VLOOKUP(M111,'Características dos Cabos MX CH'!$C$15:$L$20,3),"")))))))</f>
        <v/>
      </c>
      <c r="W111" s="195" t="str">
        <f t="shared" si="45" ref="W111:W174">IF(OR(O111="",$G$15="",H111="",N111=""),"",IF(J111="Quadruplex",3*$L$13*U111*O111/1000*R111^2*8.76,IF(J111="Triplex",2*$L$13*U111*O111/1000*R111^2*8.76,IF(J111="Duplex",$L$13*U111*O111/1000*R111^2*8.76))))</f>
        <v/>
      </c>
      <c r="X111" s="195" t="str">
        <f t="shared" si="46" ref="X111:X174">IF(OR(O111="",$G$15="",H111="",N111=""),"",IF(J111="Quadruplex",3*$L$13*V111*O111/1000*R111^2*8.76,IF(J111="triplex",2*$L$13*V111*O111/1000*R111^2*8.76,IF(J111="Duplex",$L$13*V111*O111/1000*R111^2*8.76))))</f>
        <v/>
      </c>
      <c r="Y111" s="196" t="str">
        <f t="shared" si="47" ref="Y111:Y174">IF(OR(V111="",W111="",X111=""),"",IF($L$11="PE",W111,IF($L$11="XLPE",X111,"")))</f>
        <v/>
      </c>
      <c r="AA111" s="396">
        <f t="shared" si="43"/>
        <v>0</v>
      </c>
      <c r="AB111" s="396">
        <f t="shared" si="40"/>
        <v>0</v>
      </c>
      <c r="AC111" s="395"/>
      <c r="AE111" s="357" t="str">
        <f t="shared" si="37"/>
        <v/>
      </c>
      <c r="AF111" s="426">
        <f t="shared" si="41"/>
        <v>0</v>
      </c>
      <c r="AO111" s="401"/>
      <c r="AP111" s="413">
        <v>2000</v>
      </c>
      <c r="AQ111" s="413">
        <v>10</v>
      </c>
      <c r="AR111" s="403"/>
    </row>
    <row r="112" spans="1:44" ht="15" customHeight="1">
      <c r="A112" s="696"/>
      <c r="B112" s="698"/>
      <c r="C112" s="568"/>
      <c r="D112" s="368"/>
      <c r="E112" s="372"/>
      <c r="F112" s="357" t="str">
        <f t="shared" si="36"/>
        <v/>
      </c>
      <c r="G112" s="384"/>
      <c r="H112" s="190" t="str">
        <f>IF(AND(E112="",G112=""),"",SUM(F112:G115))</f>
        <v/>
      </c>
      <c r="I112" s="191"/>
      <c r="J112" s="222"/>
      <c r="K112" s="222"/>
      <c r="L112" s="197" t="str">
        <f>IF(J112="Duplex",VLOOKUP(M112,'Características dos Cabos M Lot'!$C$12:$I$14,7),(IF(J112="Triplex",VLOOKUP(M112,'Características dos Cabos M Lot'!$C$15:$J$20,8),(IF(J112="Quadruplex",VLOOKUP(M112,'Características dos Cabos M Lot'!$C$21:$K$27,9),(IF(J112="13",VLOOKUP(M112,'Características dos Cabos M Lot'!$C$15:$L$20,10),"")))))))</f>
        <v/>
      </c>
      <c r="M112" s="350" t="str">
        <f t="shared" si="38"/>
        <v/>
      </c>
      <c r="N112" s="377"/>
      <c r="O112" s="192" t="str">
        <f t="shared" si="42"/>
        <v/>
      </c>
      <c r="P112" s="192" t="str">
        <f>IF(O112="","",SUM($O$106:O112)+$Z$106)</f>
        <v/>
      </c>
      <c r="Q112" s="192" t="str">
        <f t="shared" si="39"/>
        <v/>
      </c>
      <c r="R112" s="193" t="str">
        <f>IF(J112="Duplex",VLOOKUP(M112,'Características dos Cabos MX CH'!$C$12:$I$14,5),(IF(J112="Triplex",VLOOKUP(M112,'Características dos Cabos MX CH'!$C$15:$J$20,5),(IF(J112="Quadruplex",VLOOKUP(M112,'Características dos Cabos MX CH'!$C$21:$K$27,5),(IF(J112="13",VLOOKUP(M112,'Características dos Cabos MX CH'!$C$15:$L$20,5),"")))))))</f>
        <v/>
      </c>
      <c r="S112" s="193" t="str">
        <f>IF(J112="Duplex",VLOOKUP(M112,'Características dos Cabos MX CH'!$C$12:$I$14,6),(IF(J112="Triplex",VLOOKUP(M112,'Características dos Cabos MX CH'!$C$15:$J$20,6),(IF(J112="Quadruplex",VLOOKUP(M112,'Características dos Cabos MX CH'!$C$21:$K$27,6),(IF(J112="13",VLOOKUP(M112,'Características dos Cabos MX CH'!$C$15:$L$20,6),"")))))))</f>
        <v/>
      </c>
      <c r="T112" s="194" t="str">
        <f t="shared" si="44"/>
        <v/>
      </c>
      <c r="U112" s="447" t="str">
        <f>IF(J112="Duplex",VLOOKUP(M112,'Características dos Cabos MX CH'!$C$12:$I$14,2),(IF(J112="Triplex",VLOOKUP(M112,'Características dos Cabos MX CH'!$C$15:$J$20,2),(IF(J112="Quadruplex",VLOOKUP(M112,'Características dos Cabos MX CH'!$C$21:$K$27,2),(IF(J112="13",VLOOKUP(M112,'Características dos Cabos MX CH'!$C$15:$L$20,2),"")))))))</f>
        <v/>
      </c>
      <c r="V112" s="193" t="str">
        <f>IF(J112="Duplex",VLOOKUP(M112,'Características dos Cabos MX CH'!$C$12:$I$14,3),(IF(J112="Triplex",VLOOKUP(M112,'Características dos Cabos MX CH'!$C$15:$J$20,3),(IF(J112="Quadruplex",VLOOKUP(M112,'Características dos Cabos MX CH'!$C$21:$K$27,3),(IF(J112="13",VLOOKUP(M112,'Características dos Cabos MX CH'!$C$15:$L$20,3),"")))))))</f>
        <v/>
      </c>
      <c r="W112" s="195" t="str">
        <f t="shared" si="45"/>
        <v/>
      </c>
      <c r="X112" s="195" t="str">
        <f t="shared" si="46"/>
        <v/>
      </c>
      <c r="Y112" s="196" t="str">
        <f t="shared" si="47"/>
        <v/>
      </c>
      <c r="AA112" s="396">
        <f t="shared" si="43"/>
        <v>0</v>
      </c>
      <c r="AB112" s="396">
        <f t="shared" si="40"/>
        <v>0</v>
      </c>
      <c r="AC112" s="395"/>
      <c r="AE112" s="357" t="str">
        <f t="shared" si="37"/>
        <v/>
      </c>
      <c r="AF112" s="426">
        <f t="shared" si="41"/>
        <v>0</v>
      </c>
      <c r="AO112" s="408"/>
      <c r="AP112" s="409"/>
      <c r="AQ112" s="409"/>
      <c r="AR112" s="410"/>
    </row>
    <row r="113" spans="1:32" ht="15" customHeight="1">
      <c r="A113" s="696"/>
      <c r="B113" s="698"/>
      <c r="C113" s="568"/>
      <c r="D113" s="368"/>
      <c r="E113" s="372"/>
      <c r="F113" s="357" t="str">
        <f t="shared" si="36"/>
        <v/>
      </c>
      <c r="G113" s="384"/>
      <c r="H113" s="190" t="str">
        <f>IF(AND(E113="",G113=""),"",SUM(F113:G115))</f>
        <v/>
      </c>
      <c r="I113" s="191"/>
      <c r="J113" s="222"/>
      <c r="K113" s="222"/>
      <c r="L113" s="197" t="str">
        <f>IF(J113="Duplex",VLOOKUP(M113,'Características dos Cabos M Lot'!$C$12:$I$14,7),(IF(J113="Triplex",VLOOKUP(M113,'Características dos Cabos M Lot'!$C$15:$J$20,8),(IF(J113="Quadruplex",VLOOKUP(M113,'Características dos Cabos M Lot'!$C$21:$K$27,9),(IF(J113="13",VLOOKUP(M113,'Características dos Cabos M Lot'!$C$15:$L$20,10),"")))))))</f>
        <v/>
      </c>
      <c r="M113" s="350" t="str">
        <f t="shared" si="38"/>
        <v/>
      </c>
      <c r="N113" s="377"/>
      <c r="O113" s="192" t="str">
        <f t="shared" si="42"/>
        <v/>
      </c>
      <c r="P113" s="192" t="str">
        <f>IF(O113="","",SUM($O$106:O113)+$Z$106)</f>
        <v/>
      </c>
      <c r="Q113" s="192" t="str">
        <f t="shared" si="39"/>
        <v/>
      </c>
      <c r="R113" s="193" t="str">
        <f>IF(J113="Duplex",VLOOKUP(M113,'Características dos Cabos MX CH'!$C$12:$I$14,5),(IF(J113="Triplex",VLOOKUP(M113,'Características dos Cabos MX CH'!$C$15:$J$20,5),(IF(J113="Quadruplex",VLOOKUP(M113,'Características dos Cabos MX CH'!$C$21:$K$27,5),(IF(J113="13",VLOOKUP(M113,'Características dos Cabos MX CH'!$C$15:$L$20,5),"")))))))</f>
        <v/>
      </c>
      <c r="S113" s="193" t="str">
        <f>IF(J113="Duplex",VLOOKUP(M113,'Características dos Cabos MX CH'!$C$12:$I$14,6),(IF(J113="Triplex",VLOOKUP(M113,'Características dos Cabos MX CH'!$C$15:$J$20,6),(IF(J113="Quadruplex",VLOOKUP(M113,'Características dos Cabos MX CH'!$C$21:$K$27,6),(IF(J113="13",VLOOKUP(M113,'Características dos Cabos MX CH'!$C$15:$L$20,6),"")))))))</f>
        <v/>
      </c>
      <c r="T113" s="194" t="str">
        <f t="shared" si="44"/>
        <v/>
      </c>
      <c r="U113" s="447" t="str">
        <f>IF(J113="Duplex",VLOOKUP(M113,'Características dos Cabos MX CH'!$C$12:$I$14,2),(IF(J113="Triplex",VLOOKUP(M113,'Características dos Cabos MX CH'!$C$15:$J$20,2),(IF(J113="Quadruplex",VLOOKUP(M113,'Características dos Cabos MX CH'!$C$21:$K$27,2),(IF(J113="13",VLOOKUP(M113,'Características dos Cabos MX CH'!$C$15:$L$20,2),"")))))))</f>
        <v/>
      </c>
      <c r="V113" s="193" t="str">
        <f>IF(J113="Duplex",VLOOKUP(M113,'Características dos Cabos MX CH'!$C$12:$I$14,3),(IF(J113="Triplex",VLOOKUP(M113,'Características dos Cabos MX CH'!$C$15:$J$20,3),(IF(J113="Quadruplex",VLOOKUP(M113,'Características dos Cabos MX CH'!$C$21:$K$27,3),(IF(J113="13",VLOOKUP(M113,'Características dos Cabos MX CH'!$C$15:$L$20,3),"")))))))</f>
        <v/>
      </c>
      <c r="W113" s="195" t="str">
        <f t="shared" si="45"/>
        <v/>
      </c>
      <c r="X113" s="195" t="str">
        <f t="shared" si="46"/>
        <v/>
      </c>
      <c r="Y113" s="196" t="str">
        <f t="shared" si="47"/>
        <v/>
      </c>
      <c r="AA113" s="396">
        <f t="shared" si="43"/>
        <v>0</v>
      </c>
      <c r="AB113" s="396">
        <f t="shared" si="40"/>
        <v>0</v>
      </c>
      <c r="AC113" s="395"/>
      <c r="AE113" s="357" t="str">
        <f t="shared" si="37"/>
        <v/>
      </c>
      <c r="AF113" s="426">
        <f t="shared" si="41"/>
        <v>0</v>
      </c>
    </row>
    <row r="114" spans="1:32" ht="15" customHeight="1">
      <c r="A114" s="696"/>
      <c r="B114" s="698"/>
      <c r="C114" s="568"/>
      <c r="D114" s="368"/>
      <c r="E114" s="372"/>
      <c r="F114" s="357" t="str">
        <f t="shared" si="36"/>
        <v/>
      </c>
      <c r="G114" s="384"/>
      <c r="H114" s="190" t="str">
        <f>IF(AND(E114="",G114=""),"",SUM(F114:G115))</f>
        <v/>
      </c>
      <c r="I114" s="191"/>
      <c r="J114" s="222"/>
      <c r="K114" s="222"/>
      <c r="L114" s="197" t="str">
        <f>IF(J114="Duplex",VLOOKUP(M114,'Características dos Cabos M Lot'!$C$12:$I$14,7),(IF(J114="Triplex",VLOOKUP(M114,'Características dos Cabos M Lot'!$C$15:$J$20,8),(IF(J114="Quadruplex",VLOOKUP(M114,'Características dos Cabos M Lot'!$C$21:$K$27,9),(IF(J114="13",VLOOKUP(M114,'Características dos Cabos M Lot'!$C$15:$L$20,10),"")))))))</f>
        <v/>
      </c>
      <c r="M114" s="350" t="str">
        <f t="shared" si="38"/>
        <v/>
      </c>
      <c r="N114" s="377"/>
      <c r="O114" s="192" t="str">
        <f t="shared" si="42"/>
        <v/>
      </c>
      <c r="P114" s="192" t="str">
        <f>IF(O114="","",SUM($O$106:O114)+$Z$106)</f>
        <v/>
      </c>
      <c r="Q114" s="192" t="str">
        <f t="shared" si="39"/>
        <v/>
      </c>
      <c r="R114" s="193" t="str">
        <f>IF(J114="Duplex",VLOOKUP(M114,'Características dos Cabos MX CH'!$C$12:$I$14,5),(IF(J114="Triplex",VLOOKUP(M114,'Características dos Cabos MX CH'!$C$15:$J$20,5),(IF(J114="Quadruplex",VLOOKUP(M114,'Características dos Cabos MX CH'!$C$21:$K$27,5),(IF(J114="13",VLOOKUP(M114,'Características dos Cabos MX CH'!$C$15:$L$20,5),"")))))))</f>
        <v/>
      </c>
      <c r="S114" s="193" t="str">
        <f>IF(J114="Duplex",VLOOKUP(M114,'Características dos Cabos MX CH'!$C$12:$I$14,6),(IF(J114="Triplex",VLOOKUP(M114,'Características dos Cabos MX CH'!$C$15:$J$20,6),(IF(J114="Quadruplex",VLOOKUP(M114,'Características dos Cabos MX CH'!$C$21:$K$27,6),(IF(J114="13",VLOOKUP(M114,'Características dos Cabos MX CH'!$C$15:$L$20,6),"")))))))</f>
        <v/>
      </c>
      <c r="T114" s="194" t="str">
        <f t="shared" si="44"/>
        <v/>
      </c>
      <c r="U114" s="447" t="str">
        <f>IF(J114="Duplex",VLOOKUP(M114,'Características dos Cabos MX CH'!$C$12:$I$14,2),(IF(J114="Triplex",VLOOKUP(M114,'Características dos Cabos MX CH'!$C$15:$J$20,2),(IF(J114="Quadruplex",VLOOKUP(M114,'Características dos Cabos MX CH'!$C$21:$K$27,2),(IF(J114="13",VLOOKUP(M114,'Características dos Cabos MX CH'!$C$15:$L$20,2),"")))))))</f>
        <v/>
      </c>
      <c r="V114" s="193" t="str">
        <f>IF(J114="Duplex",VLOOKUP(M114,'Características dos Cabos MX CH'!$C$12:$I$14,3),(IF(J114="Triplex",VLOOKUP(M114,'Características dos Cabos MX CH'!$C$15:$J$20,3),(IF(J114="Quadruplex",VLOOKUP(M114,'Características dos Cabos MX CH'!$C$21:$K$27,3),(IF(J114="13",VLOOKUP(M114,'Características dos Cabos MX CH'!$C$15:$L$20,3),"")))))))</f>
        <v/>
      </c>
      <c r="W114" s="195" t="str">
        <f t="shared" si="45"/>
        <v/>
      </c>
      <c r="X114" s="195" t="str">
        <f t="shared" si="46"/>
        <v/>
      </c>
      <c r="Y114" s="196" t="str">
        <f t="shared" si="47"/>
        <v/>
      </c>
      <c r="AA114" s="396">
        <f t="shared" si="43"/>
        <v>0</v>
      </c>
      <c r="AB114" s="396">
        <f t="shared" si="40"/>
        <v>0</v>
      </c>
      <c r="AC114" s="395"/>
      <c r="AE114" s="357" t="str">
        <f t="shared" si="37"/>
        <v/>
      </c>
      <c r="AF114" s="426">
        <f t="shared" si="41"/>
        <v>0</v>
      </c>
    </row>
    <row r="115" spans="1:32" ht="15" customHeight="1" thickBot="1">
      <c r="A115" s="696"/>
      <c r="B115" s="699"/>
      <c r="C115" s="570"/>
      <c r="D115" s="370"/>
      <c r="E115" s="369"/>
      <c r="F115" s="461" t="str">
        <f t="shared" si="36"/>
        <v/>
      </c>
      <c r="G115" s="385"/>
      <c r="H115" s="200" t="str">
        <f>IF(AND(E115="",G115=""),"",SUM(F115:G115))</f>
        <v/>
      </c>
      <c r="I115" s="201"/>
      <c r="J115" s="223"/>
      <c r="K115" s="223"/>
      <c r="L115" s="202" t="str">
        <f>IF(J115="Duplex",VLOOKUP(M115,'Características dos Cabos M Lot'!$C$12:$I$14,7),(IF(J115="Triplex",VLOOKUP(M115,'Características dos Cabos M Lot'!$C$15:$J$20,8),(IF(J115="Quadruplex",VLOOKUP(M115,'Características dos Cabos M Lot'!$C$21:$K$27,9),(IF(J115="13",VLOOKUP(M115,'Características dos Cabos M Lot'!$C$15:$L$20,10),"")))))))</f>
        <v/>
      </c>
      <c r="M115" s="353" t="str">
        <f t="shared" si="38"/>
        <v/>
      </c>
      <c r="N115" s="378"/>
      <c r="O115" s="203" t="str">
        <f t="shared" si="42"/>
        <v/>
      </c>
      <c r="P115" s="192" t="str">
        <f>IF(O115="","",SUM($O$106:O115)+$Z$106)</f>
        <v/>
      </c>
      <c r="Q115" s="203" t="str">
        <f t="shared" si="39"/>
        <v/>
      </c>
      <c r="R115" s="204" t="str">
        <f>IF(J115="Duplex",VLOOKUP(M115,'Características dos Cabos MX CH'!$C$12:$I$14,5),(IF(J115="Triplex",VLOOKUP(M115,'Características dos Cabos MX CH'!$C$15:$J$20,5),(IF(J115="Quadruplex",VLOOKUP(M115,'Características dos Cabos MX CH'!$C$21:$K$27,5),(IF(J115="13",VLOOKUP(M115,'Características dos Cabos MX CH'!$C$15:$L$20,5),"")))))))</f>
        <v/>
      </c>
      <c r="S115" s="204" t="str">
        <f>IF(J115="Duplex",VLOOKUP(M115,'Características dos Cabos MX CH'!$C$12:$I$14,6),(IF(J115="Triplex",VLOOKUP(M115,'Características dos Cabos MX CH'!$C$15:$J$20,6),(IF(J115="Quadruplex",VLOOKUP(M115,'Características dos Cabos MX CH'!$C$21:$K$27,6),(IF(J115="13",VLOOKUP(M115,'Características dos Cabos MX CH'!$C$15:$L$20,6),"")))))))</f>
        <v/>
      </c>
      <c r="T115" s="205" t="str">
        <f t="shared" si="44"/>
        <v/>
      </c>
      <c r="U115" s="448" t="str">
        <f>IF(J115="Duplex",VLOOKUP(M115,'Características dos Cabos MX CH'!$C$12:$I$14,2),(IF(J115="Triplex",VLOOKUP(M115,'Características dos Cabos MX CH'!$C$15:$J$20,2),(IF(J115="Quadruplex",VLOOKUP(M115,'Características dos Cabos MX CH'!$C$21:$K$27,2),(IF(J115="13",VLOOKUP(M115,'Características dos Cabos MX CH'!$C$15:$L$20,2),"")))))))</f>
        <v/>
      </c>
      <c r="V115" s="204" t="str">
        <f>IF(J115="Duplex",VLOOKUP(M115,'Características dos Cabos MX CH'!$C$12:$I$14,3),(IF(J115="Triplex",VLOOKUP(M115,'Características dos Cabos MX CH'!$C$15:$J$20,3),(IF(J115="Quadruplex",VLOOKUP(M115,'Características dos Cabos MX CH'!$C$21:$K$27,3),(IF(J115="13",VLOOKUP(M115,'Características dos Cabos MX CH'!$C$15:$L$20,3),"")))))))</f>
        <v/>
      </c>
      <c r="W115" s="206" t="str">
        <f t="shared" si="45"/>
        <v/>
      </c>
      <c r="X115" s="206" t="str">
        <f t="shared" si="46"/>
        <v/>
      </c>
      <c r="Y115" s="207" t="str">
        <f t="shared" si="47"/>
        <v/>
      </c>
      <c r="AA115" s="396">
        <f t="shared" si="43"/>
        <v>0</v>
      </c>
      <c r="AB115" s="396">
        <f t="shared" si="40"/>
        <v>0</v>
      </c>
      <c r="AC115" s="395"/>
      <c r="AE115" s="357" t="str">
        <f t="shared" si="37"/>
        <v/>
      </c>
      <c r="AF115" s="426">
        <f t="shared" si="41"/>
        <v>0</v>
      </c>
    </row>
    <row r="116" spans="1:32" ht="15" customHeight="1" thickTop="1">
      <c r="A116" s="696"/>
      <c r="B116" s="700" t="str">
        <f>CONCATENATE("Ramal 8 - Derivando no ponto ",C116)</f>
        <v xml:space="preserve">Ramal 8 - Derivando no ponto </v>
      </c>
      <c r="C116" s="571"/>
      <c r="D116" s="371"/>
      <c r="E116" s="374"/>
      <c r="F116" s="459" t="str">
        <f t="shared" si="36"/>
        <v/>
      </c>
      <c r="G116" s="386"/>
      <c r="H116" s="209" t="str">
        <f>IF(AND(E116="",G116=""),"",SUM(F116:G125))</f>
        <v/>
      </c>
      <c r="I116" s="210"/>
      <c r="J116" s="224"/>
      <c r="K116" s="224"/>
      <c r="L116" s="211" t="str">
        <f>IF(J116="Duplex",VLOOKUP(M116,'Características dos Cabos M Lot'!$C$12:$I$14,7),(IF(J116="Triplex",VLOOKUP(M116,'Características dos Cabos M Lot'!$C$15:$J$20,8),(IF(J116="Quadruplex",VLOOKUP(M116,'Características dos Cabos M Lot'!$C$21:$K$27,9),(IF(J116="13",VLOOKUP(M116,'Características dos Cabos M Lot'!$C$15:$L$20,10),"")))))))</f>
        <v/>
      </c>
      <c r="M116" s="354" t="str">
        <f t="shared" si="38"/>
        <v/>
      </c>
      <c r="N116" s="379"/>
      <c r="O116" s="212" t="str">
        <f t="shared" si="42"/>
        <v/>
      </c>
      <c r="P116" s="217" t="str">
        <f>IF(O116="","",O116+VLOOKUP(C116,$D$20:$Q$115,13,FALSE))</f>
        <v/>
      </c>
      <c r="Q116" s="212" t="str">
        <f t="shared" si="39"/>
        <v/>
      </c>
      <c r="R116" s="213" t="str">
        <f>IF(J116="Duplex",VLOOKUP(M116,'Características dos Cabos MX CH'!$C$12:$I$14,5),(IF(J116="Triplex",VLOOKUP(M116,'Características dos Cabos MX CH'!$C$15:$J$20,5),(IF(J116="Quadruplex",VLOOKUP(M116,'Características dos Cabos MX CH'!$C$21:$K$27,5),(IF(J116="13",VLOOKUP(M116,'Características dos Cabos MX CH'!$C$15:$L$20,5),"")))))))</f>
        <v/>
      </c>
      <c r="S116" s="213" t="str">
        <f>IF(J116="Duplex",VLOOKUP(M116,'Características dos Cabos MX CH'!$C$12:$I$14,6),(IF(J116="Triplex",VLOOKUP(M116,'Características dos Cabos MX CH'!$C$15:$J$20,6),(IF(J116="Quadruplex",VLOOKUP(M116,'Características dos Cabos MX CH'!$C$21:$K$27,6),(IF(J116="13",VLOOKUP(M116,'Características dos Cabos MX CH'!$C$15:$L$20,6),"")))))))</f>
        <v/>
      </c>
      <c r="T116" s="214" t="str">
        <f t="shared" si="44"/>
        <v/>
      </c>
      <c r="U116" s="450" t="str">
        <f>IF(J116="Duplex",VLOOKUP(M116,'Características dos Cabos MX CH'!$C$12:$I$14,2),(IF(J116="Triplex",VLOOKUP(M116,'Características dos Cabos MX CH'!$C$15:$J$20,2),(IF(J116="Quadruplex",VLOOKUP(M116,'Características dos Cabos MX CH'!$C$21:$K$27,2),(IF(J116="13",VLOOKUP(M116,'Características dos Cabos MX CH'!$C$15:$L$20,2),"")))))))</f>
        <v/>
      </c>
      <c r="V116" s="213" t="str">
        <f>IF(J116="Duplex",VLOOKUP(M116,'Características dos Cabos MX CH'!$C$12:$I$14,3),(IF(J116="Triplex",VLOOKUP(M116,'Características dos Cabos MX CH'!$C$15:$J$20,3),(IF(J116="Quadruplex",VLOOKUP(M116,'Características dos Cabos MX CH'!$C$21:$K$27,3),(IF(J116="13",VLOOKUP(M116,'Características dos Cabos MX CH'!$C$15:$L$20,3),"")))))))</f>
        <v/>
      </c>
      <c r="W116" s="215" t="str">
        <f t="shared" si="45"/>
        <v/>
      </c>
      <c r="X116" s="215" t="str">
        <f t="shared" si="46"/>
        <v/>
      </c>
      <c r="Y116" s="216" t="str">
        <f t="shared" si="47"/>
        <v/>
      </c>
      <c r="Z116" s="393" t="str">
        <f>IF(O116="","",VLOOKUP(C116,$D$20:$P$115,13,FALSE))</f>
        <v/>
      </c>
      <c r="AA116" s="396">
        <f t="shared" si="43"/>
        <v>0</v>
      </c>
      <c r="AB116" s="396">
        <f t="shared" si="40"/>
        <v>0</v>
      </c>
      <c r="AC116" s="395"/>
      <c r="AE116" s="357" t="str">
        <f t="shared" si="37"/>
        <v/>
      </c>
      <c r="AF116" s="426">
        <f t="shared" si="41"/>
        <v>0</v>
      </c>
    </row>
    <row r="117" spans="1:32" ht="15" customHeight="1">
      <c r="A117" s="696"/>
      <c r="B117" s="698"/>
      <c r="C117" s="568"/>
      <c r="D117" s="368"/>
      <c r="E117" s="372"/>
      <c r="F117" s="357" t="str">
        <f t="shared" si="36"/>
        <v/>
      </c>
      <c r="G117" s="384"/>
      <c r="H117" s="190" t="str">
        <f>IF(AND(E117="",G117=""),"",SUM(F117:G125))</f>
        <v/>
      </c>
      <c r="I117" s="191"/>
      <c r="J117" s="222"/>
      <c r="K117" s="222"/>
      <c r="L117" s="197" t="str">
        <f>IF(J117="Duplex",VLOOKUP(M117,'Características dos Cabos M Lot'!$C$12:$I$14,7),(IF(J117="Triplex",VLOOKUP(M117,'Características dos Cabos M Lot'!$C$15:$J$20,8),(IF(J117="Quadruplex",VLOOKUP(M117,'Características dos Cabos M Lot'!$C$21:$K$27,9),(IF(J117="13",VLOOKUP(M117,'Características dos Cabos M Lot'!$C$15:$L$20,10),"")))))))</f>
        <v/>
      </c>
      <c r="M117" s="350" t="str">
        <f t="shared" si="38"/>
        <v/>
      </c>
      <c r="N117" s="377"/>
      <c r="O117" s="192" t="str">
        <f t="shared" si="42"/>
        <v/>
      </c>
      <c r="P117" s="192" t="str">
        <f>IF(O117="","",SUM($O$116:O117)+$Z$116)</f>
        <v/>
      </c>
      <c r="Q117" s="192" t="str">
        <f t="shared" si="39"/>
        <v/>
      </c>
      <c r="R117" s="193" t="str">
        <f>IF(J117="Duplex",VLOOKUP(M117,'Características dos Cabos MX CH'!$C$12:$I$14,5),(IF(J117="Triplex",VLOOKUP(M117,'Características dos Cabos MX CH'!$C$15:$J$20,5),(IF(J117="Quadruplex",VLOOKUP(M117,'Características dos Cabos MX CH'!$C$21:$K$27,5),(IF(J117="13",VLOOKUP(M117,'Características dos Cabos MX CH'!$C$15:$L$20,5),"")))))))</f>
        <v/>
      </c>
      <c r="S117" s="193" t="str">
        <f>IF(J117="Duplex",VLOOKUP(M117,'Características dos Cabos MX CH'!$C$12:$I$14,6),(IF(J117="Triplex",VLOOKUP(M117,'Características dos Cabos MX CH'!$C$15:$J$20,6),(IF(J117="Quadruplex",VLOOKUP(M117,'Características dos Cabos MX CH'!$C$21:$K$27,6),(IF(J117="13",VLOOKUP(M117,'Características dos Cabos MX CH'!$C$15:$L$20,6),"")))))))</f>
        <v/>
      </c>
      <c r="T117" s="194" t="str">
        <f t="shared" si="44"/>
        <v/>
      </c>
      <c r="U117" s="447" t="str">
        <f>IF(J117="Duplex",VLOOKUP(M117,'Características dos Cabos MX CH'!$C$12:$I$14,2),(IF(J117="Triplex",VLOOKUP(M117,'Características dos Cabos MX CH'!$C$15:$J$20,2),(IF(J117="Quadruplex",VLOOKUP(M117,'Características dos Cabos MX CH'!$C$21:$K$27,2),(IF(J117="13",VLOOKUP(M117,'Características dos Cabos MX CH'!$C$15:$L$20,2),"")))))))</f>
        <v/>
      </c>
      <c r="V117" s="193" t="str">
        <f>IF(J117="Duplex",VLOOKUP(M117,'Características dos Cabos MX CH'!$C$12:$I$14,3),(IF(J117="Triplex",VLOOKUP(M117,'Características dos Cabos MX CH'!$C$15:$J$20,3),(IF(J117="Quadruplex",VLOOKUP(M117,'Características dos Cabos MX CH'!$C$21:$K$27,3),(IF(J117="13",VLOOKUP(M117,'Características dos Cabos MX CH'!$C$15:$L$20,3),"")))))))</f>
        <v/>
      </c>
      <c r="W117" s="195" t="str">
        <f t="shared" si="45"/>
        <v/>
      </c>
      <c r="X117" s="195" t="str">
        <f t="shared" si="46"/>
        <v/>
      </c>
      <c r="Y117" s="196" t="str">
        <f t="shared" si="47"/>
        <v/>
      </c>
      <c r="AA117" s="396">
        <f t="shared" si="43"/>
        <v>0</v>
      </c>
      <c r="AB117" s="396">
        <f t="shared" si="40"/>
        <v>0</v>
      </c>
      <c r="AC117" s="395"/>
      <c r="AE117" s="357" t="str">
        <f t="shared" si="37"/>
        <v/>
      </c>
      <c r="AF117" s="426">
        <f t="shared" si="41"/>
        <v>0</v>
      </c>
    </row>
    <row r="118" spans="1:32" ht="15" customHeight="1">
      <c r="A118" s="696"/>
      <c r="B118" s="698"/>
      <c r="C118" s="568"/>
      <c r="D118" s="368"/>
      <c r="E118" s="372"/>
      <c r="F118" s="357" t="str">
        <f t="shared" si="36"/>
        <v/>
      </c>
      <c r="G118" s="384"/>
      <c r="H118" s="190" t="str">
        <f>IF(AND(E118="",G118=""),"",SUM(F118:G125))</f>
        <v/>
      </c>
      <c r="I118" s="191"/>
      <c r="J118" s="222"/>
      <c r="K118" s="222"/>
      <c r="L118" s="197" t="str">
        <f>IF(J118="Duplex",VLOOKUP(M118,'Características dos Cabos M Lot'!$C$12:$I$14,7),(IF(J118="Triplex",VLOOKUP(M118,'Características dos Cabos M Lot'!$C$15:$J$20,8),(IF(J118="Quadruplex",VLOOKUP(M118,'Características dos Cabos M Lot'!$C$21:$K$27,9),(IF(J118="13",VLOOKUP(M118,'Características dos Cabos M Lot'!$C$15:$L$20,10),"")))))))</f>
        <v/>
      </c>
      <c r="M118" s="350" t="str">
        <f t="shared" si="38"/>
        <v/>
      </c>
      <c r="N118" s="377"/>
      <c r="O118" s="192" t="str">
        <f t="shared" si="42"/>
        <v/>
      </c>
      <c r="P118" s="192" t="str">
        <f>IF(O118="","",SUM($O$116:O118)+$Z$116)</f>
        <v/>
      </c>
      <c r="Q118" s="192" t="str">
        <f t="shared" si="39"/>
        <v/>
      </c>
      <c r="R118" s="193" t="str">
        <f>IF(J118="Duplex",VLOOKUP(M118,'Características dos Cabos MX CH'!$C$12:$I$14,5),(IF(J118="Triplex",VLOOKUP(M118,'Características dos Cabos MX CH'!$C$15:$J$20,5),(IF(J118="Quadruplex",VLOOKUP(M118,'Características dos Cabos MX CH'!$C$21:$K$27,5),(IF(J118="13",VLOOKUP(M118,'Características dos Cabos MX CH'!$C$15:$L$20,5),"")))))))</f>
        <v/>
      </c>
      <c r="S118" s="193" t="str">
        <f>IF(J118="Duplex",VLOOKUP(M118,'Características dos Cabos MX CH'!$C$12:$I$14,6),(IF(J118="Triplex",VLOOKUP(M118,'Características dos Cabos MX CH'!$C$15:$J$20,6),(IF(J118="Quadruplex",VLOOKUP(M118,'Características dos Cabos MX CH'!$C$21:$K$27,6),(IF(J118="13",VLOOKUP(M118,'Características dos Cabos MX CH'!$C$15:$L$20,6),"")))))))</f>
        <v/>
      </c>
      <c r="T118" s="194" t="str">
        <f t="shared" si="44"/>
        <v/>
      </c>
      <c r="U118" s="447" t="str">
        <f>IF(J118="Duplex",VLOOKUP(M118,'Características dos Cabos MX CH'!$C$12:$I$14,2),(IF(J118="Triplex",VLOOKUP(M118,'Características dos Cabos MX CH'!$C$15:$J$20,2),(IF(J118="Quadruplex",VLOOKUP(M118,'Características dos Cabos MX CH'!$C$21:$K$27,2),(IF(J118="13",VLOOKUP(M118,'Características dos Cabos MX CH'!$C$15:$L$20,2),"")))))))</f>
        <v/>
      </c>
      <c r="V118" s="193" t="str">
        <f>IF(J118="Duplex",VLOOKUP(M118,'Características dos Cabos MX CH'!$C$12:$I$14,3),(IF(J118="Triplex",VLOOKUP(M118,'Características dos Cabos MX CH'!$C$15:$J$20,3),(IF(J118="Quadruplex",VLOOKUP(M118,'Características dos Cabos MX CH'!$C$21:$K$27,3),(IF(J118="13",VLOOKUP(M118,'Características dos Cabos MX CH'!$C$15:$L$20,3),"")))))))</f>
        <v/>
      </c>
      <c r="W118" s="195" t="str">
        <f t="shared" si="45"/>
        <v/>
      </c>
      <c r="X118" s="195" t="str">
        <f t="shared" si="46"/>
        <v/>
      </c>
      <c r="Y118" s="196" t="str">
        <f t="shared" si="47"/>
        <v/>
      </c>
      <c r="AA118" s="396">
        <f t="shared" si="43"/>
        <v>0</v>
      </c>
      <c r="AB118" s="396">
        <f t="shared" si="40"/>
        <v>0</v>
      </c>
      <c r="AC118" s="395"/>
      <c r="AE118" s="357" t="str">
        <f t="shared" si="37"/>
        <v/>
      </c>
      <c r="AF118" s="426">
        <f t="shared" si="41"/>
        <v>0</v>
      </c>
    </row>
    <row r="119" spans="1:32" ht="15" customHeight="1">
      <c r="A119" s="696"/>
      <c r="B119" s="698"/>
      <c r="C119" s="568"/>
      <c r="D119" s="368"/>
      <c r="E119" s="372"/>
      <c r="F119" s="357" t="str">
        <f t="shared" si="36"/>
        <v/>
      </c>
      <c r="G119" s="384"/>
      <c r="H119" s="190" t="str">
        <f>IF(AND(E119="",G119=""),"",SUM(F119:G125))</f>
        <v/>
      </c>
      <c r="I119" s="191"/>
      <c r="J119" s="222"/>
      <c r="K119" s="222"/>
      <c r="L119" s="197" t="str">
        <f>IF(J119="Duplex",VLOOKUP(M119,'Características dos Cabos M Lot'!$C$12:$I$14,7),(IF(J119="Triplex",VLOOKUP(M119,'Características dos Cabos M Lot'!$C$15:$J$20,8),(IF(J119="Quadruplex",VLOOKUP(M119,'Características dos Cabos M Lot'!$C$21:$K$27,9),(IF(J119="13",VLOOKUP(M119,'Características dos Cabos M Lot'!$C$15:$L$20,10),"")))))))</f>
        <v/>
      </c>
      <c r="M119" s="350" t="str">
        <f t="shared" si="38"/>
        <v/>
      </c>
      <c r="N119" s="377"/>
      <c r="O119" s="192" t="str">
        <f t="shared" si="42"/>
        <v/>
      </c>
      <c r="P119" s="192" t="str">
        <f>IF(O119="","",SUM($O$116:O119)+$Z$116)</f>
        <v/>
      </c>
      <c r="Q119" s="192" t="str">
        <f t="shared" si="39"/>
        <v/>
      </c>
      <c r="R119" s="193" t="str">
        <f>IF(J119="Duplex",VLOOKUP(M119,'Características dos Cabos MX CH'!$C$12:$I$14,5),(IF(J119="Triplex",VLOOKUP(M119,'Características dos Cabos MX CH'!$C$15:$J$20,5),(IF(J119="Quadruplex",VLOOKUP(M119,'Características dos Cabos MX CH'!$C$21:$K$27,5),(IF(J119="13",VLOOKUP(M119,'Características dos Cabos MX CH'!$C$15:$L$20,5),"")))))))</f>
        <v/>
      </c>
      <c r="S119" s="193" t="str">
        <f>IF(J119="Duplex",VLOOKUP(M119,'Características dos Cabos MX CH'!$C$12:$I$14,6),(IF(J119="Triplex",VLOOKUP(M119,'Características dos Cabos MX CH'!$C$15:$J$20,6),(IF(J119="Quadruplex",VLOOKUP(M119,'Características dos Cabos MX CH'!$C$21:$K$27,6),(IF(J119="13",VLOOKUP(M119,'Características dos Cabos MX CH'!$C$15:$L$20,6),"")))))))</f>
        <v/>
      </c>
      <c r="T119" s="194" t="str">
        <f t="shared" si="44"/>
        <v/>
      </c>
      <c r="U119" s="447" t="str">
        <f>IF(J119="Duplex",VLOOKUP(M119,'Características dos Cabos MX CH'!$C$12:$I$14,2),(IF(J119="Triplex",VLOOKUP(M119,'Características dos Cabos MX CH'!$C$15:$J$20,2),(IF(J119="Quadruplex",VLOOKUP(M119,'Características dos Cabos MX CH'!$C$21:$K$27,2),(IF(J119="13",VLOOKUP(M119,'Características dos Cabos MX CH'!$C$15:$L$20,2),"")))))))</f>
        <v/>
      </c>
      <c r="V119" s="193" t="str">
        <f>IF(J119="Duplex",VLOOKUP(M119,'Características dos Cabos MX CH'!$C$12:$I$14,3),(IF(J119="Triplex",VLOOKUP(M119,'Características dos Cabos MX CH'!$C$15:$J$20,3),(IF(J119="Quadruplex",VLOOKUP(M119,'Características dos Cabos MX CH'!$C$21:$K$27,3),(IF(J119="13",VLOOKUP(M119,'Características dos Cabos MX CH'!$C$15:$L$20,3),"")))))))</f>
        <v/>
      </c>
      <c r="W119" s="195" t="str">
        <f t="shared" si="45"/>
        <v/>
      </c>
      <c r="X119" s="195" t="str">
        <f t="shared" si="46"/>
        <v/>
      </c>
      <c r="Y119" s="196" t="str">
        <f t="shared" si="47"/>
        <v/>
      </c>
      <c r="AA119" s="396">
        <f t="shared" si="43"/>
        <v>0</v>
      </c>
      <c r="AB119" s="396">
        <f t="shared" si="40"/>
        <v>0</v>
      </c>
      <c r="AC119" s="395"/>
      <c r="AE119" s="357" t="str">
        <f t="shared" si="37"/>
        <v/>
      </c>
      <c r="AF119" s="426">
        <f t="shared" si="41"/>
        <v>0</v>
      </c>
    </row>
    <row r="120" spans="1:32" ht="15" customHeight="1">
      <c r="A120" s="696"/>
      <c r="B120" s="698"/>
      <c r="C120" s="568"/>
      <c r="D120" s="368"/>
      <c r="E120" s="372"/>
      <c r="F120" s="357" t="str">
        <f t="shared" si="36"/>
        <v/>
      </c>
      <c r="G120" s="384"/>
      <c r="H120" s="190" t="str">
        <f>IF(AND(E120="",G120=""),"",SUM(F120:G125))</f>
        <v/>
      </c>
      <c r="I120" s="191"/>
      <c r="J120" s="222"/>
      <c r="K120" s="222"/>
      <c r="L120" s="197" t="str">
        <f>IF(J120="Duplex",VLOOKUP(M120,'Características dos Cabos M Lot'!$C$12:$I$14,7),(IF(J120="Triplex",VLOOKUP(M120,'Características dos Cabos M Lot'!$C$15:$J$20,8),(IF(J120="Quadruplex",VLOOKUP(M120,'Características dos Cabos M Lot'!$C$21:$K$27,9),(IF(J120="13",VLOOKUP(M120,'Características dos Cabos M Lot'!$C$15:$L$20,10),"")))))))</f>
        <v/>
      </c>
      <c r="M120" s="350" t="str">
        <f t="shared" si="38"/>
        <v/>
      </c>
      <c r="N120" s="377"/>
      <c r="O120" s="192" t="str">
        <f t="shared" si="42"/>
        <v/>
      </c>
      <c r="P120" s="192" t="str">
        <f>IF(O120="","",SUM($O$116:O120)+$Z$116)</f>
        <v/>
      </c>
      <c r="Q120" s="192" t="str">
        <f t="shared" si="39"/>
        <v/>
      </c>
      <c r="R120" s="193" t="str">
        <f>IF(J120="Duplex",VLOOKUP(M120,'Características dos Cabos MX CH'!$C$12:$I$14,5),(IF(J120="Triplex",VLOOKUP(M120,'Características dos Cabos MX CH'!$C$15:$J$20,5),(IF(J120="Quadruplex",VLOOKUP(M120,'Características dos Cabos MX CH'!$C$21:$K$27,5),(IF(J120="13",VLOOKUP(M120,'Características dos Cabos MX CH'!$C$15:$L$20,5),"")))))))</f>
        <v/>
      </c>
      <c r="S120" s="193" t="str">
        <f>IF(J120="Duplex",VLOOKUP(M120,'Características dos Cabos MX CH'!$C$12:$I$14,6),(IF(J120="Triplex",VLOOKUP(M120,'Características dos Cabos MX CH'!$C$15:$J$20,6),(IF(J120="Quadruplex",VLOOKUP(M120,'Características dos Cabos MX CH'!$C$21:$K$27,6),(IF(J120="13",VLOOKUP(M120,'Características dos Cabos MX CH'!$C$15:$L$20,6),"")))))))</f>
        <v/>
      </c>
      <c r="T120" s="194" t="str">
        <f t="shared" si="44"/>
        <v/>
      </c>
      <c r="U120" s="447" t="str">
        <f>IF(J120="Duplex",VLOOKUP(M120,'Características dos Cabos MX CH'!$C$12:$I$14,2),(IF(J120="Triplex",VLOOKUP(M120,'Características dos Cabos MX CH'!$C$15:$J$20,2),(IF(J120="Quadruplex",VLOOKUP(M120,'Características dos Cabos MX CH'!$C$21:$K$27,2),(IF(J120="13",VLOOKUP(M120,'Características dos Cabos MX CH'!$C$15:$L$20,2),"")))))))</f>
        <v/>
      </c>
      <c r="V120" s="193" t="str">
        <f>IF(J120="Duplex",VLOOKUP(M120,'Características dos Cabos MX CH'!$C$12:$I$14,3),(IF(J120="Triplex",VLOOKUP(M120,'Características dos Cabos MX CH'!$C$15:$J$20,3),(IF(J120="Quadruplex",VLOOKUP(M120,'Características dos Cabos MX CH'!$C$21:$K$27,3),(IF(J120="13",VLOOKUP(M120,'Características dos Cabos MX CH'!$C$15:$L$20,3),"")))))))</f>
        <v/>
      </c>
      <c r="W120" s="195" t="str">
        <f t="shared" si="45"/>
        <v/>
      </c>
      <c r="X120" s="195" t="str">
        <f t="shared" si="46"/>
        <v/>
      </c>
      <c r="Y120" s="196" t="str">
        <f t="shared" si="47"/>
        <v/>
      </c>
      <c r="AA120" s="396">
        <f t="shared" si="43"/>
        <v>0</v>
      </c>
      <c r="AB120" s="396">
        <f t="shared" si="40"/>
        <v>0</v>
      </c>
      <c r="AC120" s="395"/>
      <c r="AE120" s="357" t="str">
        <f t="shared" si="37"/>
        <v/>
      </c>
      <c r="AF120" s="426">
        <f t="shared" si="41"/>
        <v>0</v>
      </c>
    </row>
    <row r="121" spans="1:32" ht="15" customHeight="1">
      <c r="A121" s="696"/>
      <c r="B121" s="698"/>
      <c r="C121" s="568"/>
      <c r="D121" s="368"/>
      <c r="E121" s="372"/>
      <c r="F121" s="357" t="str">
        <f t="shared" si="36"/>
        <v/>
      </c>
      <c r="G121" s="384"/>
      <c r="H121" s="190" t="str">
        <f>IF(AND(E121="",G121=""),"",SUM(F121:G125))</f>
        <v/>
      </c>
      <c r="I121" s="191"/>
      <c r="J121" s="222"/>
      <c r="K121" s="222"/>
      <c r="L121" s="197" t="str">
        <f>IF(J121="Duplex",VLOOKUP(M121,'Características dos Cabos M Lot'!$C$12:$I$14,7),(IF(J121="Triplex",VLOOKUP(M121,'Características dos Cabos M Lot'!$C$15:$J$20,8),(IF(J121="Quadruplex",VLOOKUP(M121,'Características dos Cabos M Lot'!$C$21:$K$27,9),(IF(J121="13",VLOOKUP(M121,'Características dos Cabos M Lot'!$C$15:$L$20,10),"")))))))</f>
        <v/>
      </c>
      <c r="M121" s="350" t="str">
        <f t="shared" si="38"/>
        <v/>
      </c>
      <c r="N121" s="377"/>
      <c r="O121" s="192" t="str">
        <f t="shared" si="42"/>
        <v/>
      </c>
      <c r="P121" s="192" t="str">
        <f>IF(O121="","",SUM($O$116:O121)+$Z$116)</f>
        <v/>
      </c>
      <c r="Q121" s="192" t="str">
        <f t="shared" si="39"/>
        <v/>
      </c>
      <c r="R121" s="193" t="str">
        <f>IF(J121="Duplex",VLOOKUP(M121,'Características dos Cabos MX CH'!$C$12:$I$14,5),(IF(J121="Triplex",VLOOKUP(M121,'Características dos Cabos MX CH'!$C$15:$J$20,5),(IF(J121="Quadruplex",VLOOKUP(M121,'Características dos Cabos MX CH'!$C$21:$K$27,5),(IF(J121="13",VLOOKUP(M121,'Características dos Cabos MX CH'!$C$15:$L$20,5),"")))))))</f>
        <v/>
      </c>
      <c r="S121" s="193" t="str">
        <f>IF(J121="Duplex",VLOOKUP(M121,'Características dos Cabos MX CH'!$C$12:$I$14,6),(IF(J121="Triplex",VLOOKUP(M121,'Características dos Cabos MX CH'!$C$15:$J$20,6),(IF(J121="Quadruplex",VLOOKUP(M121,'Características dos Cabos MX CH'!$C$21:$K$27,6),(IF(J121="13",VLOOKUP(M121,'Características dos Cabos MX CH'!$C$15:$L$20,6),"")))))))</f>
        <v/>
      </c>
      <c r="T121" s="194" t="str">
        <f t="shared" si="44"/>
        <v/>
      </c>
      <c r="U121" s="447" t="str">
        <f>IF(J121="Duplex",VLOOKUP(M121,'Características dos Cabos MX CH'!$C$12:$I$14,2),(IF(J121="Triplex",VLOOKUP(M121,'Características dos Cabos MX CH'!$C$15:$J$20,2),(IF(J121="Quadruplex",VLOOKUP(M121,'Características dos Cabos MX CH'!$C$21:$K$27,2),(IF(J121="13",VLOOKUP(M121,'Características dos Cabos MX CH'!$C$15:$L$20,2),"")))))))</f>
        <v/>
      </c>
      <c r="V121" s="193" t="str">
        <f>IF(J121="Duplex",VLOOKUP(M121,'Características dos Cabos MX CH'!$C$12:$I$14,3),(IF(J121="Triplex",VLOOKUP(M121,'Características dos Cabos MX CH'!$C$15:$J$20,3),(IF(J121="Quadruplex",VLOOKUP(M121,'Características dos Cabos MX CH'!$C$21:$K$27,3),(IF(J121="13",VLOOKUP(M121,'Características dos Cabos MX CH'!$C$15:$L$20,3),"")))))))</f>
        <v/>
      </c>
      <c r="W121" s="195" t="str">
        <f t="shared" si="45"/>
        <v/>
      </c>
      <c r="X121" s="195" t="str">
        <f t="shared" si="46"/>
        <v/>
      </c>
      <c r="Y121" s="196" t="str">
        <f t="shared" si="47"/>
        <v/>
      </c>
      <c r="AA121" s="396">
        <f t="shared" si="43"/>
        <v>0</v>
      </c>
      <c r="AB121" s="396">
        <f t="shared" si="40"/>
        <v>0</v>
      </c>
      <c r="AC121" s="395"/>
      <c r="AE121" s="357" t="str">
        <f t="shared" si="37"/>
        <v/>
      </c>
      <c r="AF121" s="426">
        <f t="shared" si="41"/>
        <v>0</v>
      </c>
    </row>
    <row r="122" spans="1:32" ht="15" customHeight="1">
      <c r="A122" s="696"/>
      <c r="B122" s="698"/>
      <c r="C122" s="568"/>
      <c r="D122" s="368"/>
      <c r="E122" s="372"/>
      <c r="F122" s="357" t="str">
        <f t="shared" si="36"/>
        <v/>
      </c>
      <c r="G122" s="384"/>
      <c r="H122" s="190" t="str">
        <f>IF(AND(E122="",G122=""),"",SUM(F122:G125))</f>
        <v/>
      </c>
      <c r="I122" s="191"/>
      <c r="J122" s="222"/>
      <c r="K122" s="222"/>
      <c r="L122" s="197" t="str">
        <f>IF(J122="Duplex",VLOOKUP(M122,'Características dos Cabos M Lot'!$C$12:$I$14,7),(IF(J122="Triplex",VLOOKUP(M122,'Características dos Cabos M Lot'!$C$15:$J$20,8),(IF(J122="Quadruplex",VLOOKUP(M122,'Características dos Cabos M Lot'!$C$21:$K$27,9),(IF(J122="13",VLOOKUP(M122,'Características dos Cabos M Lot'!$C$15:$L$20,10),"")))))))</f>
        <v/>
      </c>
      <c r="M122" s="350" t="str">
        <f t="shared" si="38"/>
        <v/>
      </c>
      <c r="N122" s="377"/>
      <c r="O122" s="192" t="str">
        <f t="shared" si="42"/>
        <v/>
      </c>
      <c r="P122" s="192" t="str">
        <f>IF(O122="","",SUM($O$116:O122)+$Z$116)</f>
        <v/>
      </c>
      <c r="Q122" s="192" t="str">
        <f t="shared" si="39"/>
        <v/>
      </c>
      <c r="R122" s="193" t="str">
        <f>IF(J122="Duplex",VLOOKUP(M122,'Características dos Cabos MX CH'!$C$12:$I$14,5),(IF(J122="Triplex",VLOOKUP(M122,'Características dos Cabos MX CH'!$C$15:$J$20,5),(IF(J122="Quadruplex",VLOOKUP(M122,'Características dos Cabos MX CH'!$C$21:$K$27,5),(IF(J122="13",VLOOKUP(M122,'Características dos Cabos MX CH'!$C$15:$L$20,5),"")))))))</f>
        <v/>
      </c>
      <c r="S122" s="193" t="str">
        <f>IF(J122="Duplex",VLOOKUP(M122,'Características dos Cabos MX CH'!$C$12:$I$14,6),(IF(J122="Triplex",VLOOKUP(M122,'Características dos Cabos MX CH'!$C$15:$J$20,6),(IF(J122="Quadruplex",VLOOKUP(M122,'Características dos Cabos MX CH'!$C$21:$K$27,6),(IF(J122="13",VLOOKUP(M122,'Características dos Cabos MX CH'!$C$15:$L$20,6),"")))))))</f>
        <v/>
      </c>
      <c r="T122" s="194" t="str">
        <f t="shared" si="44"/>
        <v/>
      </c>
      <c r="U122" s="447" t="str">
        <f>IF(J122="Duplex",VLOOKUP(M122,'Características dos Cabos MX CH'!$C$12:$I$14,2),(IF(J122="Triplex",VLOOKUP(M122,'Características dos Cabos MX CH'!$C$15:$J$20,2),(IF(J122="Quadruplex",VLOOKUP(M122,'Características dos Cabos MX CH'!$C$21:$K$27,2),(IF(J122="13",VLOOKUP(M122,'Características dos Cabos MX CH'!$C$15:$L$20,2),"")))))))</f>
        <v/>
      </c>
      <c r="V122" s="193" t="str">
        <f>IF(J122="Duplex",VLOOKUP(M122,'Características dos Cabos MX CH'!$C$12:$I$14,3),(IF(J122="Triplex",VLOOKUP(M122,'Características dos Cabos MX CH'!$C$15:$J$20,3),(IF(J122="Quadruplex",VLOOKUP(M122,'Características dos Cabos MX CH'!$C$21:$K$27,3),(IF(J122="13",VLOOKUP(M122,'Características dos Cabos MX CH'!$C$15:$L$20,3),"")))))))</f>
        <v/>
      </c>
      <c r="W122" s="195" t="str">
        <f t="shared" si="45"/>
        <v/>
      </c>
      <c r="X122" s="195" t="str">
        <f t="shared" si="46"/>
        <v/>
      </c>
      <c r="Y122" s="196" t="str">
        <f t="shared" si="47"/>
        <v/>
      </c>
      <c r="AA122" s="396">
        <f t="shared" si="43"/>
        <v>0</v>
      </c>
      <c r="AB122" s="396">
        <f t="shared" si="40"/>
        <v>0</v>
      </c>
      <c r="AC122" s="395"/>
      <c r="AE122" s="357" t="str">
        <f t="shared" si="37"/>
        <v/>
      </c>
      <c r="AF122" s="426">
        <f t="shared" si="41"/>
        <v>0</v>
      </c>
    </row>
    <row r="123" spans="1:32" ht="15" customHeight="1">
      <c r="A123" s="696"/>
      <c r="B123" s="698"/>
      <c r="C123" s="568"/>
      <c r="D123" s="368"/>
      <c r="E123" s="372"/>
      <c r="F123" s="357" t="str">
        <f t="shared" si="36"/>
        <v/>
      </c>
      <c r="G123" s="384"/>
      <c r="H123" s="190" t="str">
        <f>IF(AND(E123="",G123=""),"",SUM(F123:G125))</f>
        <v/>
      </c>
      <c r="I123" s="191"/>
      <c r="J123" s="222"/>
      <c r="K123" s="222"/>
      <c r="L123" s="197" t="str">
        <f>IF(J123="Duplex",VLOOKUP(M123,'Características dos Cabos M Lot'!$C$12:$I$14,7),(IF(J123="Triplex",VLOOKUP(M123,'Características dos Cabos M Lot'!$C$15:$J$20,8),(IF(J123="Quadruplex",VLOOKUP(M123,'Características dos Cabos M Lot'!$C$21:$K$27,9),(IF(J123="13",VLOOKUP(M123,'Características dos Cabos M Lot'!$C$15:$L$20,10),"")))))))</f>
        <v/>
      </c>
      <c r="M123" s="350" t="str">
        <f t="shared" si="38"/>
        <v/>
      </c>
      <c r="N123" s="377"/>
      <c r="O123" s="192" t="str">
        <f t="shared" si="42"/>
        <v/>
      </c>
      <c r="P123" s="192" t="str">
        <f>IF(O123="","",SUM($O$116:O123)+$Z$116)</f>
        <v/>
      </c>
      <c r="Q123" s="192" t="str">
        <f t="shared" si="39"/>
        <v/>
      </c>
      <c r="R123" s="193" t="str">
        <f>IF(J123="Duplex",VLOOKUP(M123,'Características dos Cabos MX CH'!$C$12:$I$14,5),(IF(J123="Triplex",VLOOKUP(M123,'Características dos Cabos MX CH'!$C$15:$J$20,5),(IF(J123="Quadruplex",VLOOKUP(M123,'Características dos Cabos MX CH'!$C$21:$K$27,5),(IF(J123="13",VLOOKUP(M123,'Características dos Cabos MX CH'!$C$15:$L$20,5),"")))))))</f>
        <v/>
      </c>
      <c r="S123" s="193" t="str">
        <f>IF(J123="Duplex",VLOOKUP(M123,'Características dos Cabos MX CH'!$C$12:$I$14,6),(IF(J123="Triplex",VLOOKUP(M123,'Características dos Cabos MX CH'!$C$15:$J$20,6),(IF(J123="Quadruplex",VLOOKUP(M123,'Características dos Cabos MX CH'!$C$21:$K$27,6),(IF(J123="13",VLOOKUP(M123,'Características dos Cabos MX CH'!$C$15:$L$20,6),"")))))))</f>
        <v/>
      </c>
      <c r="T123" s="194" t="str">
        <f t="shared" si="44"/>
        <v/>
      </c>
      <c r="U123" s="447" t="str">
        <f>IF(J123="Duplex",VLOOKUP(M123,'Características dos Cabos MX CH'!$C$12:$I$14,2),(IF(J123="Triplex",VLOOKUP(M123,'Características dos Cabos MX CH'!$C$15:$J$20,2),(IF(J123="Quadruplex",VLOOKUP(M123,'Características dos Cabos MX CH'!$C$21:$K$27,2),(IF(J123="13",VLOOKUP(M123,'Características dos Cabos MX CH'!$C$15:$L$20,2),"")))))))</f>
        <v/>
      </c>
      <c r="V123" s="193" t="str">
        <f>IF(J123="Duplex",VLOOKUP(M123,'Características dos Cabos MX CH'!$C$12:$I$14,3),(IF(J123="Triplex",VLOOKUP(M123,'Características dos Cabos MX CH'!$C$15:$J$20,3),(IF(J123="Quadruplex",VLOOKUP(M123,'Características dos Cabos MX CH'!$C$21:$K$27,3),(IF(J123="13",VLOOKUP(M123,'Características dos Cabos MX CH'!$C$15:$L$20,3),"")))))))</f>
        <v/>
      </c>
      <c r="W123" s="195" t="str">
        <f t="shared" si="45"/>
        <v/>
      </c>
      <c r="X123" s="195" t="str">
        <f t="shared" si="46"/>
        <v/>
      </c>
      <c r="Y123" s="196" t="str">
        <f t="shared" si="47"/>
        <v/>
      </c>
      <c r="AA123" s="396">
        <f t="shared" si="43"/>
        <v>0</v>
      </c>
      <c r="AB123" s="396">
        <f t="shared" si="40"/>
        <v>0</v>
      </c>
      <c r="AC123" s="395"/>
      <c r="AE123" s="357" t="str">
        <f t="shared" si="37"/>
        <v/>
      </c>
      <c r="AF123" s="426">
        <f t="shared" si="41"/>
        <v>0</v>
      </c>
    </row>
    <row r="124" spans="1:32" ht="15" customHeight="1">
      <c r="A124" s="696"/>
      <c r="B124" s="698"/>
      <c r="C124" s="568"/>
      <c r="D124" s="368"/>
      <c r="E124" s="372"/>
      <c r="F124" s="357" t="str">
        <f t="shared" si="36"/>
        <v/>
      </c>
      <c r="G124" s="384"/>
      <c r="H124" s="190" t="str">
        <f>IF(AND(E124="",G124=""),"",SUM(F124:G125))</f>
        <v/>
      </c>
      <c r="I124" s="191"/>
      <c r="J124" s="222"/>
      <c r="K124" s="222"/>
      <c r="L124" s="197" t="str">
        <f>IF(J124="Duplex",VLOOKUP(M124,'Características dos Cabos M Lot'!$C$12:$I$14,7),(IF(J124="Triplex",VLOOKUP(M124,'Características dos Cabos M Lot'!$C$15:$J$20,8),(IF(J124="Quadruplex",VLOOKUP(M124,'Características dos Cabos M Lot'!$C$21:$K$27,9),(IF(J124="13",VLOOKUP(M124,'Características dos Cabos M Lot'!$C$15:$L$20,10),"")))))))</f>
        <v/>
      </c>
      <c r="M124" s="350" t="str">
        <f t="shared" si="38"/>
        <v/>
      </c>
      <c r="N124" s="377"/>
      <c r="O124" s="192" t="str">
        <f t="shared" si="42"/>
        <v/>
      </c>
      <c r="P124" s="192" t="str">
        <f>IF(O124="","",SUM($O$116:O124)+$Z$116)</f>
        <v/>
      </c>
      <c r="Q124" s="192" t="str">
        <f t="shared" si="39"/>
        <v/>
      </c>
      <c r="R124" s="193" t="str">
        <f>IF(J124="Duplex",VLOOKUP(M124,'Características dos Cabos MX CH'!$C$12:$I$14,5),(IF(J124="Triplex",VLOOKUP(M124,'Características dos Cabos MX CH'!$C$15:$J$20,5),(IF(J124="Quadruplex",VLOOKUP(M124,'Características dos Cabos MX CH'!$C$21:$K$27,5),(IF(J124="13",VLOOKUP(M124,'Características dos Cabos MX CH'!$C$15:$L$20,5),"")))))))</f>
        <v/>
      </c>
      <c r="S124" s="193" t="str">
        <f>IF(J124="Duplex",VLOOKUP(M124,'Características dos Cabos MX CH'!$C$12:$I$14,6),(IF(J124="Triplex",VLOOKUP(M124,'Características dos Cabos MX CH'!$C$15:$J$20,6),(IF(J124="Quadruplex",VLOOKUP(M124,'Características dos Cabos MX CH'!$C$21:$K$27,6),(IF(J124="13",VLOOKUP(M124,'Características dos Cabos MX CH'!$C$15:$L$20,6),"")))))))</f>
        <v/>
      </c>
      <c r="T124" s="194" t="str">
        <f t="shared" si="44"/>
        <v/>
      </c>
      <c r="U124" s="447" t="str">
        <f>IF(J124="Duplex",VLOOKUP(M124,'Características dos Cabos MX CH'!$C$12:$I$14,2),(IF(J124="Triplex",VLOOKUP(M124,'Características dos Cabos MX CH'!$C$15:$J$20,2),(IF(J124="Quadruplex",VLOOKUP(M124,'Características dos Cabos MX CH'!$C$21:$K$27,2),(IF(J124="13",VLOOKUP(M124,'Características dos Cabos MX CH'!$C$15:$L$20,2),"")))))))</f>
        <v/>
      </c>
      <c r="V124" s="193" t="str">
        <f>IF(J124="Duplex",VLOOKUP(M124,'Características dos Cabos MX CH'!$C$12:$I$14,3),(IF(J124="Triplex",VLOOKUP(M124,'Características dos Cabos MX CH'!$C$15:$J$20,3),(IF(J124="Quadruplex",VLOOKUP(M124,'Características dos Cabos MX CH'!$C$21:$K$27,3),(IF(J124="13",VLOOKUP(M124,'Características dos Cabos MX CH'!$C$15:$L$20,3),"")))))))</f>
        <v/>
      </c>
      <c r="W124" s="195" t="str">
        <f t="shared" si="45"/>
        <v/>
      </c>
      <c r="X124" s="195" t="str">
        <f t="shared" si="46"/>
        <v/>
      </c>
      <c r="Y124" s="196" t="str">
        <f t="shared" si="47"/>
        <v/>
      </c>
      <c r="AA124" s="396">
        <f t="shared" si="43"/>
        <v>0</v>
      </c>
      <c r="AB124" s="396">
        <f t="shared" si="40"/>
        <v>0</v>
      </c>
      <c r="AC124" s="395"/>
      <c r="AE124" s="357" t="str">
        <f t="shared" si="37"/>
        <v/>
      </c>
      <c r="AF124" s="426">
        <f t="shared" si="41"/>
        <v>0</v>
      </c>
    </row>
    <row r="125" spans="1:32" ht="15" customHeight="1" thickBot="1">
      <c r="A125" s="696"/>
      <c r="B125" s="699"/>
      <c r="C125" s="570"/>
      <c r="D125" s="370"/>
      <c r="E125" s="369"/>
      <c r="F125" s="461" t="str">
        <f t="shared" si="36"/>
        <v/>
      </c>
      <c r="G125" s="385"/>
      <c r="H125" s="200" t="str">
        <f>IF(AND(E125="",G125=""),"",SUM(F125:G125))</f>
        <v/>
      </c>
      <c r="I125" s="201"/>
      <c r="J125" s="223"/>
      <c r="K125" s="223"/>
      <c r="L125" s="202" t="str">
        <f>IF(J125="Duplex",VLOOKUP(M125,'Características dos Cabos M Lot'!$C$12:$I$14,7),(IF(J125="Triplex",VLOOKUP(M125,'Características dos Cabos M Lot'!$C$15:$J$20,8),(IF(J125="Quadruplex",VLOOKUP(M125,'Características dos Cabos M Lot'!$C$21:$K$27,9),(IF(J125="13",VLOOKUP(M125,'Características dos Cabos M Lot'!$C$15:$L$20,10),"")))))))</f>
        <v/>
      </c>
      <c r="M125" s="353" t="str">
        <f t="shared" si="38"/>
        <v/>
      </c>
      <c r="N125" s="378"/>
      <c r="O125" s="203" t="str">
        <f t="shared" si="42"/>
        <v/>
      </c>
      <c r="P125" s="192" t="str">
        <f>IF(O125="","",SUM($O$116:O125)+$Z$116)</f>
        <v/>
      </c>
      <c r="Q125" s="203" t="str">
        <f t="shared" si="39"/>
        <v/>
      </c>
      <c r="R125" s="204" t="str">
        <f>IF(J125="Duplex",VLOOKUP(M125,'Características dos Cabos MX CH'!$C$12:$I$14,5),(IF(J125="Triplex",VLOOKUP(M125,'Características dos Cabos MX CH'!$C$15:$J$20,5),(IF(J125="Quadruplex",VLOOKUP(M125,'Características dos Cabos MX CH'!$C$21:$K$27,5),(IF(J125="13",VLOOKUP(M125,'Características dos Cabos MX CH'!$C$15:$L$20,5),"")))))))</f>
        <v/>
      </c>
      <c r="S125" s="204" t="str">
        <f>IF(J125="Duplex",VLOOKUP(M125,'Características dos Cabos MX CH'!$C$12:$I$14,6),(IF(J125="Triplex",VLOOKUP(M125,'Características dos Cabos MX CH'!$C$15:$J$20,6),(IF(J125="Quadruplex",VLOOKUP(M125,'Características dos Cabos MX CH'!$C$21:$K$27,6),(IF(J125="13",VLOOKUP(M125,'Características dos Cabos MX CH'!$C$15:$L$20,6),"")))))))</f>
        <v/>
      </c>
      <c r="T125" s="205" t="str">
        <f t="shared" si="44"/>
        <v/>
      </c>
      <c r="U125" s="448" t="str">
        <f>IF(J125="Duplex",VLOOKUP(M125,'Características dos Cabos MX CH'!$C$12:$I$14,2),(IF(J125="Triplex",VLOOKUP(M125,'Características dos Cabos MX CH'!$C$15:$J$20,2),(IF(J125="Quadruplex",VLOOKUP(M125,'Características dos Cabos MX CH'!$C$21:$K$27,2),(IF(J125="13",VLOOKUP(M125,'Características dos Cabos MX CH'!$C$15:$L$20,2),"")))))))</f>
        <v/>
      </c>
      <c r="V125" s="204" t="str">
        <f>IF(J125="Duplex",VLOOKUP(M125,'Características dos Cabos MX CH'!$C$12:$I$14,3),(IF(J125="Triplex",VLOOKUP(M125,'Características dos Cabos MX CH'!$C$15:$J$20,3),(IF(J125="Quadruplex",VLOOKUP(M125,'Características dos Cabos MX CH'!$C$21:$K$27,3),(IF(J125="13",VLOOKUP(M125,'Características dos Cabos MX CH'!$C$15:$L$20,3),"")))))))</f>
        <v/>
      </c>
      <c r="W125" s="206" t="str">
        <f t="shared" si="45"/>
        <v/>
      </c>
      <c r="X125" s="206" t="str">
        <f t="shared" si="46"/>
        <v/>
      </c>
      <c r="Y125" s="207" t="str">
        <f t="shared" si="47"/>
        <v/>
      </c>
      <c r="AA125" s="396">
        <f t="shared" si="43"/>
        <v>0</v>
      </c>
      <c r="AB125" s="396">
        <f t="shared" si="40"/>
        <v>0</v>
      </c>
      <c r="AC125" s="395"/>
      <c r="AE125" s="357" t="str">
        <f t="shared" si="37"/>
        <v/>
      </c>
      <c r="AF125" s="426">
        <f t="shared" si="41"/>
        <v>0</v>
      </c>
    </row>
    <row r="126" spans="1:32" ht="15" customHeight="1" thickTop="1">
      <c r="A126" s="696"/>
      <c r="B126" s="700" t="str">
        <f>CONCATENATE("Ramal 9 - Derivando no ponto ",C126)</f>
        <v xml:space="preserve">Ramal 9 - Derivando no ponto </v>
      </c>
      <c r="C126" s="571"/>
      <c r="D126" s="371"/>
      <c r="E126" s="374"/>
      <c r="F126" s="459" t="str">
        <f t="shared" si="36"/>
        <v/>
      </c>
      <c r="G126" s="386"/>
      <c r="H126" s="209" t="str">
        <f>IF(AND(E126="",G126=""),"",SUM(F126:G135))</f>
        <v/>
      </c>
      <c r="I126" s="210"/>
      <c r="J126" s="224"/>
      <c r="K126" s="224"/>
      <c r="L126" s="211" t="str">
        <f>IF(J126="Duplex",VLOOKUP(M126,'Características dos Cabos M Lot'!$C$12:$I$14,7),(IF(J126="Triplex",VLOOKUP(M126,'Características dos Cabos M Lot'!$C$15:$J$20,8),(IF(J126="Quadruplex",VLOOKUP(M126,'Características dos Cabos M Lot'!$C$21:$K$27,9),(IF(J126="13",VLOOKUP(M126,'Características dos Cabos M Lot'!$C$15:$L$20,10),"")))))))</f>
        <v/>
      </c>
      <c r="M126" s="354" t="str">
        <f t="shared" si="38"/>
        <v/>
      </c>
      <c r="N126" s="379"/>
      <c r="O126" s="212" t="str">
        <f t="shared" si="42"/>
        <v/>
      </c>
      <c r="P126" s="217" t="str">
        <f>IF(O126="","",O126+VLOOKUP(C126,$D$20:$Q$125,13,FALSE))</f>
        <v/>
      </c>
      <c r="Q126" s="212" t="str">
        <f t="shared" si="39"/>
        <v/>
      </c>
      <c r="R126" s="213" t="str">
        <f>IF(J126="Duplex",VLOOKUP(M126,'Características dos Cabos MX CH'!$C$12:$I$14,5),(IF(J126="Triplex",VLOOKUP(M126,'Características dos Cabos MX CH'!$C$15:$J$20,5),(IF(J126="Quadruplex",VLOOKUP(M126,'Características dos Cabos MX CH'!$C$21:$K$27,5),(IF(J126="13",VLOOKUP(M126,'Características dos Cabos MX CH'!$C$15:$L$20,5),"")))))))</f>
        <v/>
      </c>
      <c r="S126" s="213" t="str">
        <f>IF(J126="Duplex",VLOOKUP(M126,'Características dos Cabos MX CH'!$C$12:$I$14,6),(IF(J126="Triplex",VLOOKUP(M126,'Características dos Cabos MX CH'!$C$15:$J$20,6),(IF(J126="Quadruplex",VLOOKUP(M126,'Características dos Cabos MX CH'!$C$21:$K$27,6),(IF(J126="13",VLOOKUP(M126,'Características dos Cabos MX CH'!$C$15:$L$20,6),"")))))))</f>
        <v/>
      </c>
      <c r="T126" s="214" t="str">
        <f t="shared" si="44"/>
        <v/>
      </c>
      <c r="U126" s="450" t="str">
        <f>IF(J126="Duplex",VLOOKUP(M126,'Características dos Cabos MX CH'!$C$12:$I$14,2),(IF(J126="Triplex",VLOOKUP(M126,'Características dos Cabos MX CH'!$C$15:$J$20,2),(IF(J126="Quadruplex",VLOOKUP(M126,'Características dos Cabos MX CH'!$C$21:$K$27,2),(IF(J126="13",VLOOKUP(M126,'Características dos Cabos MX CH'!$C$15:$L$20,2),"")))))))</f>
        <v/>
      </c>
      <c r="V126" s="213" t="str">
        <f>IF(J126="Duplex",VLOOKUP(M126,'Características dos Cabos MX CH'!$C$12:$I$14,3),(IF(J126="Triplex",VLOOKUP(M126,'Características dos Cabos MX CH'!$C$15:$J$20,3),(IF(J126="Quadruplex",VLOOKUP(M126,'Características dos Cabos MX CH'!$C$21:$K$27,3),(IF(J126="13",VLOOKUP(M126,'Características dos Cabos MX CH'!$C$15:$L$20,3),"")))))))</f>
        <v/>
      </c>
      <c r="W126" s="215" t="str">
        <f t="shared" si="45"/>
        <v/>
      </c>
      <c r="X126" s="215" t="str">
        <f t="shared" si="46"/>
        <v/>
      </c>
      <c r="Y126" s="216" t="str">
        <f t="shared" si="47"/>
        <v/>
      </c>
      <c r="Z126" s="393" t="str">
        <f>IF(O126="","",VLOOKUP(C126,$D$20:$P$125,13,FALSE))</f>
        <v/>
      </c>
      <c r="AA126" s="396">
        <f t="shared" si="43"/>
        <v>0</v>
      </c>
      <c r="AB126" s="396">
        <f t="shared" si="48" ref="AB126:AB135">K126</f>
        <v>0</v>
      </c>
      <c r="AC126" s="395"/>
      <c r="AE126" s="357" t="str">
        <f t="shared" si="37"/>
        <v/>
      </c>
      <c r="AF126" s="426">
        <f t="shared" si="41"/>
        <v>0</v>
      </c>
    </row>
    <row r="127" spans="1:32" ht="15" customHeight="1">
      <c r="A127" s="696"/>
      <c r="B127" s="698"/>
      <c r="C127" s="568"/>
      <c r="D127" s="368"/>
      <c r="E127" s="372"/>
      <c r="F127" s="357" t="str">
        <f t="shared" si="36"/>
        <v/>
      </c>
      <c r="G127" s="384"/>
      <c r="H127" s="190" t="str">
        <f>IF(AND(E127="",G127=""),"",SUM(F127:G135))</f>
        <v/>
      </c>
      <c r="I127" s="191"/>
      <c r="J127" s="222"/>
      <c r="K127" s="222"/>
      <c r="L127" s="197" t="str">
        <f>IF(J127="Duplex",VLOOKUP(M127,'Características dos Cabos M Lot'!$C$12:$I$14,7),(IF(J127="Triplex",VLOOKUP(M127,'Características dos Cabos M Lot'!$C$15:$J$20,8),(IF(J127="Quadruplex",VLOOKUP(M127,'Características dos Cabos M Lot'!$C$21:$K$27,9),(IF(J127="13",VLOOKUP(M127,'Características dos Cabos M Lot'!$C$15:$L$20,10),"")))))))</f>
        <v/>
      </c>
      <c r="M127" s="350" t="str">
        <f t="shared" si="38"/>
        <v/>
      </c>
      <c r="N127" s="377"/>
      <c r="O127" s="192" t="str">
        <f t="shared" si="42"/>
        <v/>
      </c>
      <c r="P127" s="192" t="str">
        <f>IF(O127="","",SUM($O$126:O127)+$Z$126)</f>
        <v/>
      </c>
      <c r="Q127" s="192" t="str">
        <f t="shared" si="39"/>
        <v/>
      </c>
      <c r="R127" s="193" t="str">
        <f>IF(J127="Duplex",VLOOKUP(M127,'Características dos Cabos MX CH'!$C$12:$I$14,5),(IF(J127="Triplex",VLOOKUP(M127,'Características dos Cabos MX CH'!$C$15:$J$20,5),(IF(J127="Quadruplex",VLOOKUP(M127,'Características dos Cabos MX CH'!$C$21:$K$27,5),(IF(J127="13",VLOOKUP(M127,'Características dos Cabos MX CH'!$C$15:$L$20,5),"")))))))</f>
        <v/>
      </c>
      <c r="S127" s="193" t="str">
        <f>IF(J127="Duplex",VLOOKUP(M127,'Características dos Cabos MX CH'!$C$12:$I$14,6),(IF(J127="Triplex",VLOOKUP(M127,'Características dos Cabos MX CH'!$C$15:$J$20,6),(IF(J127="Quadruplex",VLOOKUP(M127,'Características dos Cabos MX CH'!$C$21:$K$27,6),(IF(J127="13",VLOOKUP(M127,'Características dos Cabos MX CH'!$C$15:$L$20,6),"")))))))</f>
        <v/>
      </c>
      <c r="T127" s="194" t="str">
        <f t="shared" si="44"/>
        <v/>
      </c>
      <c r="U127" s="447" t="str">
        <f>IF(J127="Duplex",VLOOKUP(M127,'Características dos Cabos MX CH'!$C$12:$I$14,2),(IF(J127="Triplex",VLOOKUP(M127,'Características dos Cabos MX CH'!$C$15:$J$20,2),(IF(J127="Quadruplex",VLOOKUP(M127,'Características dos Cabos MX CH'!$C$21:$K$27,2),(IF(J127="13",VLOOKUP(M127,'Características dos Cabos MX CH'!$C$15:$L$20,2),"")))))))</f>
        <v/>
      </c>
      <c r="V127" s="193" t="str">
        <f>IF(J127="Duplex",VLOOKUP(M127,'Características dos Cabos MX CH'!$C$12:$I$14,3),(IF(J127="Triplex",VLOOKUP(M127,'Características dos Cabos MX CH'!$C$15:$J$20,3),(IF(J127="Quadruplex",VLOOKUP(M127,'Características dos Cabos MX CH'!$C$21:$K$27,3),(IF(J127="13",VLOOKUP(M127,'Características dos Cabos MX CH'!$C$15:$L$20,3),"")))))))</f>
        <v/>
      </c>
      <c r="W127" s="195" t="str">
        <f t="shared" si="45"/>
        <v/>
      </c>
      <c r="X127" s="195" t="str">
        <f t="shared" si="46"/>
        <v/>
      </c>
      <c r="Y127" s="196" t="str">
        <f t="shared" si="47"/>
        <v/>
      </c>
      <c r="AA127" s="396">
        <f t="shared" si="43"/>
        <v>0</v>
      </c>
      <c r="AB127" s="396">
        <f t="shared" si="48"/>
        <v>0</v>
      </c>
      <c r="AC127" s="395"/>
      <c r="AE127" s="357" t="str">
        <f t="shared" si="37"/>
        <v/>
      </c>
      <c r="AF127" s="426">
        <f t="shared" si="41"/>
        <v>0</v>
      </c>
    </row>
    <row r="128" spans="1:32" ht="15" customHeight="1">
      <c r="A128" s="696"/>
      <c r="B128" s="698"/>
      <c r="C128" s="568"/>
      <c r="D128" s="368"/>
      <c r="E128" s="372"/>
      <c r="F128" s="357" t="str">
        <f t="shared" si="36"/>
        <v/>
      </c>
      <c r="G128" s="384"/>
      <c r="H128" s="190" t="str">
        <f>IF(AND(E128="",G128=""),"",SUM(F128:G135))</f>
        <v/>
      </c>
      <c r="I128" s="191"/>
      <c r="J128" s="222"/>
      <c r="K128" s="222"/>
      <c r="L128" s="197" t="str">
        <f>IF(J128="Duplex",VLOOKUP(M128,'Características dos Cabos M Lot'!$C$12:$I$14,7),(IF(J128="Triplex",VLOOKUP(M128,'Características dos Cabos M Lot'!$C$15:$J$20,8),(IF(J128="Quadruplex",VLOOKUP(M128,'Características dos Cabos M Lot'!$C$21:$K$27,9),(IF(J128="13",VLOOKUP(M128,'Características dos Cabos M Lot'!$C$15:$L$20,10),"")))))))</f>
        <v/>
      </c>
      <c r="M128" s="350" t="str">
        <f t="shared" si="38"/>
        <v/>
      </c>
      <c r="N128" s="377"/>
      <c r="O128" s="192" t="str">
        <f t="shared" si="42"/>
        <v/>
      </c>
      <c r="P128" s="192" t="str">
        <f>IF(O128="","",SUM($O$126:O128)+$Z$126)</f>
        <v/>
      </c>
      <c r="Q128" s="192" t="str">
        <f t="shared" si="39"/>
        <v/>
      </c>
      <c r="R128" s="193" t="str">
        <f>IF(J128="Duplex",VLOOKUP(M128,'Características dos Cabos MX CH'!$C$12:$I$14,5),(IF(J128="Triplex",VLOOKUP(M128,'Características dos Cabos MX CH'!$C$15:$J$20,5),(IF(J128="Quadruplex",VLOOKUP(M128,'Características dos Cabos MX CH'!$C$21:$K$27,5),(IF(J128="13",VLOOKUP(M128,'Características dos Cabos MX CH'!$C$15:$L$20,5),"")))))))</f>
        <v/>
      </c>
      <c r="S128" s="193" t="str">
        <f>IF(J128="Duplex",VLOOKUP(M128,'Características dos Cabos MX CH'!$C$12:$I$14,6),(IF(J128="Triplex",VLOOKUP(M128,'Características dos Cabos MX CH'!$C$15:$J$20,6),(IF(J128="Quadruplex",VLOOKUP(M128,'Características dos Cabos MX CH'!$C$21:$K$27,6),(IF(J128="13",VLOOKUP(M128,'Características dos Cabos MX CH'!$C$15:$L$20,6),"")))))))</f>
        <v/>
      </c>
      <c r="T128" s="194" t="str">
        <f t="shared" si="44"/>
        <v/>
      </c>
      <c r="U128" s="447" t="str">
        <f>IF(J128="Duplex",VLOOKUP(M128,'Características dos Cabos MX CH'!$C$12:$I$14,2),(IF(J128="Triplex",VLOOKUP(M128,'Características dos Cabos MX CH'!$C$15:$J$20,2),(IF(J128="Quadruplex",VLOOKUP(M128,'Características dos Cabos MX CH'!$C$21:$K$27,2),(IF(J128="13",VLOOKUP(M128,'Características dos Cabos MX CH'!$C$15:$L$20,2),"")))))))</f>
        <v/>
      </c>
      <c r="V128" s="193" t="str">
        <f>IF(J128="Duplex",VLOOKUP(M128,'Características dos Cabos MX CH'!$C$12:$I$14,3),(IF(J128="Triplex",VLOOKUP(M128,'Características dos Cabos MX CH'!$C$15:$J$20,3),(IF(J128="Quadruplex",VLOOKUP(M128,'Características dos Cabos MX CH'!$C$21:$K$27,3),(IF(J128="13",VLOOKUP(M128,'Características dos Cabos MX CH'!$C$15:$L$20,3),"")))))))</f>
        <v/>
      </c>
      <c r="W128" s="195" t="str">
        <f t="shared" si="45"/>
        <v/>
      </c>
      <c r="X128" s="195" t="str">
        <f t="shared" si="46"/>
        <v/>
      </c>
      <c r="Y128" s="196" t="str">
        <f t="shared" si="47"/>
        <v/>
      </c>
      <c r="AA128" s="396">
        <f t="shared" si="43"/>
        <v>0</v>
      </c>
      <c r="AB128" s="396">
        <f t="shared" si="48"/>
        <v>0</v>
      </c>
      <c r="AC128" s="395"/>
      <c r="AE128" s="357" t="str">
        <f t="shared" si="37"/>
        <v/>
      </c>
      <c r="AF128" s="426">
        <f t="shared" si="41"/>
        <v>0</v>
      </c>
    </row>
    <row r="129" spans="1:32" ht="15" customHeight="1">
      <c r="A129" s="696"/>
      <c r="B129" s="698"/>
      <c r="C129" s="568"/>
      <c r="D129" s="368"/>
      <c r="E129" s="372"/>
      <c r="F129" s="357" t="str">
        <f t="shared" si="36"/>
        <v/>
      </c>
      <c r="G129" s="384"/>
      <c r="H129" s="190" t="str">
        <f>IF(AND(E129="",G129=""),"",SUM(F129:G135))</f>
        <v/>
      </c>
      <c r="I129" s="191"/>
      <c r="J129" s="222"/>
      <c r="K129" s="222"/>
      <c r="L129" s="197" t="str">
        <f>IF(J129="Duplex",VLOOKUP(M129,'Características dos Cabos M Lot'!$C$12:$I$14,7),(IF(J129="Triplex",VLOOKUP(M129,'Características dos Cabos M Lot'!$C$15:$J$20,8),(IF(J129="Quadruplex",VLOOKUP(M129,'Características dos Cabos M Lot'!$C$21:$K$27,9),(IF(J129="13",VLOOKUP(M129,'Características dos Cabos M Lot'!$C$15:$L$20,10),"")))))))</f>
        <v/>
      </c>
      <c r="M129" s="350" t="str">
        <f t="shared" si="38"/>
        <v/>
      </c>
      <c r="N129" s="377"/>
      <c r="O129" s="192" t="str">
        <f t="shared" si="42"/>
        <v/>
      </c>
      <c r="P129" s="192" t="str">
        <f>IF(O129="","",SUM($O$126:O129)+$Z$126)</f>
        <v/>
      </c>
      <c r="Q129" s="192" t="str">
        <f t="shared" si="39"/>
        <v/>
      </c>
      <c r="R129" s="193" t="str">
        <f>IF(J129="Duplex",VLOOKUP(M129,'Características dos Cabos MX CH'!$C$12:$I$14,5),(IF(J129="Triplex",VLOOKUP(M129,'Características dos Cabos MX CH'!$C$15:$J$20,5),(IF(J129="Quadruplex",VLOOKUP(M129,'Características dos Cabos MX CH'!$C$21:$K$27,5),(IF(J129="13",VLOOKUP(M129,'Características dos Cabos MX CH'!$C$15:$L$20,5),"")))))))</f>
        <v/>
      </c>
      <c r="S129" s="193" t="str">
        <f>IF(J129="Duplex",VLOOKUP(M129,'Características dos Cabos MX CH'!$C$12:$I$14,6),(IF(J129="Triplex",VLOOKUP(M129,'Características dos Cabos MX CH'!$C$15:$J$20,6),(IF(J129="Quadruplex",VLOOKUP(M129,'Características dos Cabos MX CH'!$C$21:$K$27,6),(IF(J129="13",VLOOKUP(M129,'Características dos Cabos MX CH'!$C$15:$L$20,6),"")))))))</f>
        <v/>
      </c>
      <c r="T129" s="194" t="str">
        <f t="shared" si="44"/>
        <v/>
      </c>
      <c r="U129" s="447" t="str">
        <f>IF(J129="Duplex",VLOOKUP(M129,'Características dos Cabos MX CH'!$C$12:$I$14,2),(IF(J129="Triplex",VLOOKUP(M129,'Características dos Cabos MX CH'!$C$15:$J$20,2),(IF(J129="Quadruplex",VLOOKUP(M129,'Características dos Cabos MX CH'!$C$21:$K$27,2),(IF(J129="13",VLOOKUP(M129,'Características dos Cabos MX CH'!$C$15:$L$20,2),"")))))))</f>
        <v/>
      </c>
      <c r="V129" s="193" t="str">
        <f>IF(J129="Duplex",VLOOKUP(M129,'Características dos Cabos MX CH'!$C$12:$I$14,3),(IF(J129="Triplex",VLOOKUP(M129,'Características dos Cabos MX CH'!$C$15:$J$20,3),(IF(J129="Quadruplex",VLOOKUP(M129,'Características dos Cabos MX CH'!$C$21:$K$27,3),(IF(J129="13",VLOOKUP(M129,'Características dos Cabos MX CH'!$C$15:$L$20,3),"")))))))</f>
        <v/>
      </c>
      <c r="W129" s="195" t="str">
        <f t="shared" si="45"/>
        <v/>
      </c>
      <c r="X129" s="195" t="str">
        <f t="shared" si="46"/>
        <v/>
      </c>
      <c r="Y129" s="196" t="str">
        <f t="shared" si="47"/>
        <v/>
      </c>
      <c r="AA129" s="396">
        <f t="shared" si="43"/>
        <v>0</v>
      </c>
      <c r="AB129" s="396">
        <f t="shared" si="48"/>
        <v>0</v>
      </c>
      <c r="AC129" s="395"/>
      <c r="AE129" s="357" t="str">
        <f t="shared" si="37"/>
        <v/>
      </c>
      <c r="AF129" s="426">
        <f t="shared" si="41"/>
        <v>0</v>
      </c>
    </row>
    <row r="130" spans="1:32" ht="15" customHeight="1">
      <c r="A130" s="696"/>
      <c r="B130" s="698"/>
      <c r="C130" s="568"/>
      <c r="D130" s="368"/>
      <c r="E130" s="372"/>
      <c r="F130" s="357" t="str">
        <f t="shared" si="36"/>
        <v/>
      </c>
      <c r="G130" s="384"/>
      <c r="H130" s="190" t="str">
        <f>IF(AND(E130="",G130=""),"",SUM(F130:G135))</f>
        <v/>
      </c>
      <c r="I130" s="191"/>
      <c r="J130" s="222"/>
      <c r="K130" s="222"/>
      <c r="L130" s="197" t="str">
        <f>IF(J130="Duplex",VLOOKUP(M130,'Características dos Cabos M Lot'!$C$12:$I$14,7),(IF(J130="Triplex",VLOOKUP(M130,'Características dos Cabos M Lot'!$C$15:$J$20,8),(IF(J130="Quadruplex",VLOOKUP(M130,'Características dos Cabos M Lot'!$C$21:$K$27,9),(IF(J130="13",VLOOKUP(M130,'Características dos Cabos M Lot'!$C$15:$L$20,10),"")))))))</f>
        <v/>
      </c>
      <c r="M130" s="350" t="str">
        <f t="shared" si="38"/>
        <v/>
      </c>
      <c r="N130" s="377"/>
      <c r="O130" s="192" t="str">
        <f t="shared" si="42"/>
        <v/>
      </c>
      <c r="P130" s="192" t="str">
        <f>IF(O130="","",SUM($O$126:O130)+$Z$126)</f>
        <v/>
      </c>
      <c r="Q130" s="192" t="str">
        <f t="shared" si="39"/>
        <v/>
      </c>
      <c r="R130" s="193" t="str">
        <f>IF(J130="Duplex",VLOOKUP(M130,'Características dos Cabos MX CH'!$C$12:$I$14,5),(IF(J130="Triplex",VLOOKUP(M130,'Características dos Cabos MX CH'!$C$15:$J$20,5),(IF(J130="Quadruplex",VLOOKUP(M130,'Características dos Cabos MX CH'!$C$21:$K$27,5),(IF(J130="13",VLOOKUP(M130,'Características dos Cabos MX CH'!$C$15:$L$20,5),"")))))))</f>
        <v/>
      </c>
      <c r="S130" s="193" t="str">
        <f>IF(J130="Duplex",VLOOKUP(M130,'Características dos Cabos MX CH'!$C$12:$I$14,6),(IF(J130="Triplex",VLOOKUP(M130,'Características dos Cabos MX CH'!$C$15:$J$20,6),(IF(J130="Quadruplex",VLOOKUP(M130,'Características dos Cabos MX CH'!$C$21:$K$27,6),(IF(J130="13",VLOOKUP(M130,'Características dos Cabos MX CH'!$C$15:$L$20,6),"")))))))</f>
        <v/>
      </c>
      <c r="T130" s="194" t="str">
        <f t="shared" si="44"/>
        <v/>
      </c>
      <c r="U130" s="447" t="str">
        <f>IF(J130="Duplex",VLOOKUP(M130,'Características dos Cabos MX CH'!$C$12:$I$14,2),(IF(J130="Triplex",VLOOKUP(M130,'Características dos Cabos MX CH'!$C$15:$J$20,2),(IF(J130="Quadruplex",VLOOKUP(M130,'Características dos Cabos MX CH'!$C$21:$K$27,2),(IF(J130="13",VLOOKUP(M130,'Características dos Cabos MX CH'!$C$15:$L$20,2),"")))))))</f>
        <v/>
      </c>
      <c r="V130" s="193" t="str">
        <f>IF(J130="Duplex",VLOOKUP(M130,'Características dos Cabos MX CH'!$C$12:$I$14,3),(IF(J130="Triplex",VLOOKUP(M130,'Características dos Cabos MX CH'!$C$15:$J$20,3),(IF(J130="Quadruplex",VLOOKUP(M130,'Características dos Cabos MX CH'!$C$21:$K$27,3),(IF(J130="13",VLOOKUP(M130,'Características dos Cabos MX CH'!$C$15:$L$20,3),"")))))))</f>
        <v/>
      </c>
      <c r="W130" s="195" t="str">
        <f t="shared" si="45"/>
        <v/>
      </c>
      <c r="X130" s="195" t="str">
        <f t="shared" si="46"/>
        <v/>
      </c>
      <c r="Y130" s="196" t="str">
        <f t="shared" si="47"/>
        <v/>
      </c>
      <c r="AA130" s="396">
        <f t="shared" si="43"/>
        <v>0</v>
      </c>
      <c r="AB130" s="396">
        <f t="shared" si="48"/>
        <v>0</v>
      </c>
      <c r="AC130" s="395"/>
      <c r="AE130" s="357" t="str">
        <f t="shared" si="37"/>
        <v/>
      </c>
      <c r="AF130" s="426">
        <f t="shared" si="41"/>
        <v>0</v>
      </c>
    </row>
    <row r="131" spans="1:32" ht="15" customHeight="1">
      <c r="A131" s="696"/>
      <c r="B131" s="698"/>
      <c r="C131" s="568"/>
      <c r="D131" s="368"/>
      <c r="E131" s="372"/>
      <c r="F131" s="357" t="str">
        <f t="shared" si="36"/>
        <v/>
      </c>
      <c r="G131" s="384"/>
      <c r="H131" s="190" t="str">
        <f>IF(AND(E131="",G131=""),"",SUM(F131:G135))</f>
        <v/>
      </c>
      <c r="I131" s="191"/>
      <c r="J131" s="222"/>
      <c r="K131" s="222"/>
      <c r="L131" s="197" t="str">
        <f>IF(J131="Duplex",VLOOKUP(M131,'Características dos Cabos M Lot'!$C$12:$I$14,7),(IF(J131="Triplex",VLOOKUP(M131,'Características dos Cabos M Lot'!$C$15:$J$20,8),(IF(J131="Quadruplex",VLOOKUP(M131,'Características dos Cabos M Lot'!$C$21:$K$27,9),(IF(J131="13",VLOOKUP(M131,'Características dos Cabos M Lot'!$C$15:$L$20,10),"")))))))</f>
        <v/>
      </c>
      <c r="M131" s="350" t="str">
        <f t="shared" si="38"/>
        <v/>
      </c>
      <c r="N131" s="377"/>
      <c r="O131" s="192" t="str">
        <f t="shared" si="42"/>
        <v/>
      </c>
      <c r="P131" s="192" t="str">
        <f>IF(O131="","",SUM($O$126:O131)+$Z$126)</f>
        <v/>
      </c>
      <c r="Q131" s="192" t="str">
        <f t="shared" si="39"/>
        <v/>
      </c>
      <c r="R131" s="193" t="str">
        <f>IF(J131="Duplex",VLOOKUP(M131,'Características dos Cabos MX CH'!$C$12:$I$14,5),(IF(J131="Triplex",VLOOKUP(M131,'Características dos Cabos MX CH'!$C$15:$J$20,5),(IF(J131="Quadruplex",VLOOKUP(M131,'Características dos Cabos MX CH'!$C$21:$K$27,5),(IF(J131="13",VLOOKUP(M131,'Características dos Cabos MX CH'!$C$15:$L$20,5),"")))))))</f>
        <v/>
      </c>
      <c r="S131" s="193" t="str">
        <f>IF(J131="Duplex",VLOOKUP(M131,'Características dos Cabos MX CH'!$C$12:$I$14,6),(IF(J131="Triplex",VLOOKUP(M131,'Características dos Cabos MX CH'!$C$15:$J$20,6),(IF(J131="Quadruplex",VLOOKUP(M131,'Características dos Cabos MX CH'!$C$21:$K$27,6),(IF(J131="13",VLOOKUP(M131,'Características dos Cabos MX CH'!$C$15:$L$20,6),"")))))))</f>
        <v/>
      </c>
      <c r="T131" s="194" t="str">
        <f t="shared" si="44"/>
        <v/>
      </c>
      <c r="U131" s="447" t="str">
        <f>IF(J131="Duplex",VLOOKUP(M131,'Características dos Cabos MX CH'!$C$12:$I$14,2),(IF(J131="Triplex",VLOOKUP(M131,'Características dos Cabos MX CH'!$C$15:$J$20,2),(IF(J131="Quadruplex",VLOOKUP(M131,'Características dos Cabos MX CH'!$C$21:$K$27,2),(IF(J131="13",VLOOKUP(M131,'Características dos Cabos MX CH'!$C$15:$L$20,2),"")))))))</f>
        <v/>
      </c>
      <c r="V131" s="193" t="str">
        <f>IF(J131="Duplex",VLOOKUP(M131,'Características dos Cabos MX CH'!$C$12:$I$14,3),(IF(J131="Triplex",VLOOKUP(M131,'Características dos Cabos MX CH'!$C$15:$J$20,3),(IF(J131="Quadruplex",VLOOKUP(M131,'Características dos Cabos MX CH'!$C$21:$K$27,3),(IF(J131="13",VLOOKUP(M131,'Características dos Cabos MX CH'!$C$15:$L$20,3),"")))))))</f>
        <v/>
      </c>
      <c r="W131" s="195" t="str">
        <f t="shared" si="45"/>
        <v/>
      </c>
      <c r="X131" s="195" t="str">
        <f t="shared" si="46"/>
        <v/>
      </c>
      <c r="Y131" s="196" t="str">
        <f t="shared" si="47"/>
        <v/>
      </c>
      <c r="AA131" s="396">
        <f t="shared" si="43"/>
        <v>0</v>
      </c>
      <c r="AB131" s="396">
        <f t="shared" si="48"/>
        <v>0</v>
      </c>
      <c r="AC131" s="395"/>
      <c r="AE131" s="357" t="str">
        <f t="shared" si="37"/>
        <v/>
      </c>
      <c r="AF131" s="426">
        <f t="shared" si="41"/>
        <v>0</v>
      </c>
    </row>
    <row r="132" spans="1:32" ht="15" customHeight="1">
      <c r="A132" s="696"/>
      <c r="B132" s="698"/>
      <c r="C132" s="568"/>
      <c r="D132" s="368"/>
      <c r="E132" s="372"/>
      <c r="F132" s="357" t="str">
        <f t="shared" si="36"/>
        <v/>
      </c>
      <c r="G132" s="384"/>
      <c r="H132" s="190" t="str">
        <f>IF(AND(E132="",G132=""),"",SUM(F132:G135))</f>
        <v/>
      </c>
      <c r="I132" s="191"/>
      <c r="J132" s="222"/>
      <c r="K132" s="222"/>
      <c r="L132" s="197" t="str">
        <f>IF(J132="Duplex",VLOOKUP(M132,'Características dos Cabos M Lot'!$C$12:$I$14,7),(IF(J132="Triplex",VLOOKUP(M132,'Características dos Cabos M Lot'!$C$15:$J$20,8),(IF(J132="Quadruplex",VLOOKUP(M132,'Características dos Cabos M Lot'!$C$21:$K$27,9),(IF(J132="13",VLOOKUP(M132,'Características dos Cabos M Lot'!$C$15:$L$20,10),"")))))))</f>
        <v/>
      </c>
      <c r="M132" s="350" t="str">
        <f t="shared" si="38"/>
        <v/>
      </c>
      <c r="N132" s="377"/>
      <c r="O132" s="192" t="str">
        <f t="shared" si="42"/>
        <v/>
      </c>
      <c r="P132" s="192" t="str">
        <f>IF(O132="","",SUM($O$126:O132)+$Z$126)</f>
        <v/>
      </c>
      <c r="Q132" s="192" t="str">
        <f t="shared" si="39"/>
        <v/>
      </c>
      <c r="R132" s="193" t="str">
        <f>IF(J132="Duplex",VLOOKUP(M132,'Características dos Cabos MX CH'!$C$12:$I$14,5),(IF(J132="Triplex",VLOOKUP(M132,'Características dos Cabos MX CH'!$C$15:$J$20,5),(IF(J132="Quadruplex",VLOOKUP(M132,'Características dos Cabos MX CH'!$C$21:$K$27,5),(IF(J132="13",VLOOKUP(M132,'Características dos Cabos MX CH'!$C$15:$L$20,5),"")))))))</f>
        <v/>
      </c>
      <c r="S132" s="193" t="str">
        <f>IF(J132="Duplex",VLOOKUP(M132,'Características dos Cabos MX CH'!$C$12:$I$14,6),(IF(J132="Triplex",VLOOKUP(M132,'Características dos Cabos MX CH'!$C$15:$J$20,6),(IF(J132="Quadruplex",VLOOKUP(M132,'Características dos Cabos MX CH'!$C$21:$K$27,6),(IF(J132="13",VLOOKUP(M132,'Características dos Cabos MX CH'!$C$15:$L$20,6),"")))))))</f>
        <v/>
      </c>
      <c r="T132" s="194" t="str">
        <f t="shared" si="44"/>
        <v/>
      </c>
      <c r="U132" s="447" t="str">
        <f>IF(J132="Duplex",VLOOKUP(M132,'Características dos Cabos MX CH'!$C$12:$I$14,2),(IF(J132="Triplex",VLOOKUP(M132,'Características dos Cabos MX CH'!$C$15:$J$20,2),(IF(J132="Quadruplex",VLOOKUP(M132,'Características dos Cabos MX CH'!$C$21:$K$27,2),(IF(J132="13",VLOOKUP(M132,'Características dos Cabos MX CH'!$C$15:$L$20,2),"")))))))</f>
        <v/>
      </c>
      <c r="V132" s="193" t="str">
        <f>IF(J132="Duplex",VLOOKUP(M132,'Características dos Cabos MX CH'!$C$12:$I$14,3),(IF(J132="Triplex",VLOOKUP(M132,'Características dos Cabos MX CH'!$C$15:$J$20,3),(IF(J132="Quadruplex",VLOOKUP(M132,'Características dos Cabos MX CH'!$C$21:$K$27,3),(IF(J132="13",VLOOKUP(M132,'Características dos Cabos MX CH'!$C$15:$L$20,3),"")))))))</f>
        <v/>
      </c>
      <c r="W132" s="195" t="str">
        <f t="shared" si="45"/>
        <v/>
      </c>
      <c r="X132" s="195" t="str">
        <f t="shared" si="46"/>
        <v/>
      </c>
      <c r="Y132" s="196" t="str">
        <f t="shared" si="47"/>
        <v/>
      </c>
      <c r="AA132" s="396">
        <f t="shared" si="43"/>
        <v>0</v>
      </c>
      <c r="AB132" s="396">
        <f t="shared" si="48"/>
        <v>0</v>
      </c>
      <c r="AC132" s="395"/>
      <c r="AE132" s="357" t="str">
        <f t="shared" si="37"/>
        <v/>
      </c>
      <c r="AF132" s="426">
        <f t="shared" si="41"/>
        <v>0</v>
      </c>
    </row>
    <row r="133" spans="1:32" ht="15" customHeight="1">
      <c r="A133" s="696"/>
      <c r="B133" s="698"/>
      <c r="C133" s="568"/>
      <c r="D133" s="368"/>
      <c r="E133" s="372"/>
      <c r="F133" s="357" t="str">
        <f t="shared" si="36"/>
        <v/>
      </c>
      <c r="G133" s="384"/>
      <c r="H133" s="190" t="str">
        <f>IF(AND(E133="",G133=""),"",SUM(F133:G135))</f>
        <v/>
      </c>
      <c r="I133" s="191"/>
      <c r="J133" s="222"/>
      <c r="K133" s="222"/>
      <c r="L133" s="197" t="str">
        <f>IF(J133="Duplex",VLOOKUP(M133,'Características dos Cabos M Lot'!$C$12:$I$14,7),(IF(J133="Triplex",VLOOKUP(M133,'Características dos Cabos M Lot'!$C$15:$J$20,8),(IF(J133="Quadruplex",VLOOKUP(M133,'Características dos Cabos M Lot'!$C$21:$K$27,9),(IF(J133="13",VLOOKUP(M133,'Características dos Cabos M Lot'!$C$15:$L$20,10),"")))))))</f>
        <v/>
      </c>
      <c r="M133" s="350" t="str">
        <f t="shared" si="38"/>
        <v/>
      </c>
      <c r="N133" s="377"/>
      <c r="O133" s="192" t="str">
        <f t="shared" si="42"/>
        <v/>
      </c>
      <c r="P133" s="192" t="str">
        <f>IF(O133="","",SUM($O$126:O133)+$Z$126)</f>
        <v/>
      </c>
      <c r="Q133" s="192" t="str">
        <f t="shared" si="39"/>
        <v/>
      </c>
      <c r="R133" s="193" t="str">
        <f>IF(J133="Duplex",VLOOKUP(M133,'Características dos Cabos MX CH'!$C$12:$I$14,5),(IF(J133="Triplex",VLOOKUP(M133,'Características dos Cabos MX CH'!$C$15:$J$20,5),(IF(J133="Quadruplex",VLOOKUP(M133,'Características dos Cabos MX CH'!$C$21:$K$27,5),(IF(J133="13",VLOOKUP(M133,'Características dos Cabos MX CH'!$C$15:$L$20,5),"")))))))</f>
        <v/>
      </c>
      <c r="S133" s="193" t="str">
        <f>IF(J133="Duplex",VLOOKUP(M133,'Características dos Cabos MX CH'!$C$12:$I$14,6),(IF(J133="Triplex",VLOOKUP(M133,'Características dos Cabos MX CH'!$C$15:$J$20,6),(IF(J133="Quadruplex",VLOOKUP(M133,'Características dos Cabos MX CH'!$C$21:$K$27,6),(IF(J133="13",VLOOKUP(M133,'Características dos Cabos MX CH'!$C$15:$L$20,6),"")))))))</f>
        <v/>
      </c>
      <c r="T133" s="194" t="str">
        <f t="shared" si="44"/>
        <v/>
      </c>
      <c r="U133" s="447" t="str">
        <f>IF(J133="Duplex",VLOOKUP(M133,'Características dos Cabos MX CH'!$C$12:$I$14,2),(IF(J133="Triplex",VLOOKUP(M133,'Características dos Cabos MX CH'!$C$15:$J$20,2),(IF(J133="Quadruplex",VLOOKUP(M133,'Características dos Cabos MX CH'!$C$21:$K$27,2),(IF(J133="13",VLOOKUP(M133,'Características dos Cabos MX CH'!$C$15:$L$20,2),"")))))))</f>
        <v/>
      </c>
      <c r="V133" s="193" t="str">
        <f>IF(J133="Duplex",VLOOKUP(M133,'Características dos Cabos MX CH'!$C$12:$I$14,3),(IF(J133="Triplex",VLOOKUP(M133,'Características dos Cabos MX CH'!$C$15:$J$20,3),(IF(J133="Quadruplex",VLOOKUP(M133,'Características dos Cabos MX CH'!$C$21:$K$27,3),(IF(J133="13",VLOOKUP(M133,'Características dos Cabos MX CH'!$C$15:$L$20,3),"")))))))</f>
        <v/>
      </c>
      <c r="W133" s="195" t="str">
        <f t="shared" si="45"/>
        <v/>
      </c>
      <c r="X133" s="195" t="str">
        <f t="shared" si="46"/>
        <v/>
      </c>
      <c r="Y133" s="196" t="str">
        <f t="shared" si="47"/>
        <v/>
      </c>
      <c r="AA133" s="396">
        <f t="shared" si="43"/>
        <v>0</v>
      </c>
      <c r="AB133" s="396">
        <f t="shared" si="48"/>
        <v>0</v>
      </c>
      <c r="AC133" s="395"/>
      <c r="AE133" s="357" t="str">
        <f t="shared" si="37"/>
        <v/>
      </c>
      <c r="AF133" s="426">
        <f t="shared" si="41"/>
        <v>0</v>
      </c>
    </row>
    <row r="134" spans="1:32" ht="15" customHeight="1">
      <c r="A134" s="696"/>
      <c r="B134" s="698"/>
      <c r="C134" s="568"/>
      <c r="D134" s="368"/>
      <c r="E134" s="372"/>
      <c r="F134" s="357" t="str">
        <f t="shared" si="36"/>
        <v/>
      </c>
      <c r="G134" s="384"/>
      <c r="H134" s="190" t="str">
        <f>IF(AND(E134="",G134=""),"",SUM(F134:G135))</f>
        <v/>
      </c>
      <c r="I134" s="191"/>
      <c r="J134" s="222"/>
      <c r="K134" s="222"/>
      <c r="L134" s="197" t="str">
        <f>IF(J134="Duplex",VLOOKUP(M134,'Características dos Cabos M Lot'!$C$12:$I$14,7),(IF(J134="Triplex",VLOOKUP(M134,'Características dos Cabos M Lot'!$C$15:$J$20,8),(IF(J134="Quadruplex",VLOOKUP(M134,'Características dos Cabos M Lot'!$C$21:$K$27,9),(IF(J134="13",VLOOKUP(M134,'Características dos Cabos M Lot'!$C$15:$L$20,10),"")))))))</f>
        <v/>
      </c>
      <c r="M134" s="350" t="str">
        <f t="shared" si="38"/>
        <v/>
      </c>
      <c r="N134" s="377"/>
      <c r="O134" s="192" t="str">
        <f t="shared" si="42"/>
        <v/>
      </c>
      <c r="P134" s="192" t="str">
        <f>IF(O134="","",SUM($O$126:O134)+$Z$126)</f>
        <v/>
      </c>
      <c r="Q134" s="192" t="str">
        <f t="shared" si="39"/>
        <v/>
      </c>
      <c r="R134" s="193" t="str">
        <f>IF(J134="Duplex",VLOOKUP(M134,'Características dos Cabos MX CH'!$C$12:$I$14,5),(IF(J134="Triplex",VLOOKUP(M134,'Características dos Cabos MX CH'!$C$15:$J$20,5),(IF(J134="Quadruplex",VLOOKUP(M134,'Características dos Cabos MX CH'!$C$21:$K$27,5),(IF(J134="13",VLOOKUP(M134,'Características dos Cabos MX CH'!$C$15:$L$20,5),"")))))))</f>
        <v/>
      </c>
      <c r="S134" s="193" t="str">
        <f>IF(J134="Duplex",VLOOKUP(M134,'Características dos Cabos MX CH'!$C$12:$I$14,6),(IF(J134="Triplex",VLOOKUP(M134,'Características dos Cabos MX CH'!$C$15:$J$20,6),(IF(J134="Quadruplex",VLOOKUP(M134,'Características dos Cabos MX CH'!$C$21:$K$27,6),(IF(J134="13",VLOOKUP(M134,'Características dos Cabos MX CH'!$C$15:$L$20,6),"")))))))</f>
        <v/>
      </c>
      <c r="T134" s="194" t="str">
        <f t="shared" si="44"/>
        <v/>
      </c>
      <c r="U134" s="447" t="str">
        <f>IF(J134="Duplex",VLOOKUP(M134,'Características dos Cabos MX CH'!$C$12:$I$14,2),(IF(J134="Triplex",VLOOKUP(M134,'Características dos Cabos MX CH'!$C$15:$J$20,2),(IF(J134="Quadruplex",VLOOKUP(M134,'Características dos Cabos MX CH'!$C$21:$K$27,2),(IF(J134="13",VLOOKUP(M134,'Características dos Cabos MX CH'!$C$15:$L$20,2),"")))))))</f>
        <v/>
      </c>
      <c r="V134" s="193" t="str">
        <f>IF(J134="Duplex",VLOOKUP(M134,'Características dos Cabos MX CH'!$C$12:$I$14,3),(IF(J134="Triplex",VLOOKUP(M134,'Características dos Cabos MX CH'!$C$15:$J$20,3),(IF(J134="Quadruplex",VLOOKUP(M134,'Características dos Cabos MX CH'!$C$21:$K$27,3),(IF(J134="13",VLOOKUP(M134,'Características dos Cabos MX CH'!$C$15:$L$20,3),"")))))))</f>
        <v/>
      </c>
      <c r="W134" s="195" t="str">
        <f t="shared" si="45"/>
        <v/>
      </c>
      <c r="X134" s="195" t="str">
        <f t="shared" si="46"/>
        <v/>
      </c>
      <c r="Y134" s="196" t="str">
        <f t="shared" si="47"/>
        <v/>
      </c>
      <c r="AA134" s="396">
        <f t="shared" si="43"/>
        <v>0</v>
      </c>
      <c r="AB134" s="396">
        <f t="shared" si="48"/>
        <v>0</v>
      </c>
      <c r="AC134" s="395"/>
      <c r="AE134" s="357" t="str">
        <f t="shared" si="37"/>
        <v/>
      </c>
      <c r="AF134" s="426">
        <f t="shared" si="41"/>
        <v>0</v>
      </c>
    </row>
    <row r="135" spans="1:32" ht="15" customHeight="1" thickBot="1">
      <c r="A135" s="696"/>
      <c r="B135" s="699"/>
      <c r="C135" s="570"/>
      <c r="D135" s="370"/>
      <c r="E135" s="369"/>
      <c r="F135" s="461" t="str">
        <f t="shared" si="36"/>
        <v/>
      </c>
      <c r="G135" s="385"/>
      <c r="H135" s="200" t="str">
        <f>IF(AND(E135="",G135=""),"",SUM(F135:G135))</f>
        <v/>
      </c>
      <c r="I135" s="201"/>
      <c r="J135" s="223"/>
      <c r="K135" s="223"/>
      <c r="L135" s="202" t="str">
        <f>IF(J135="Duplex",VLOOKUP(M135,'Características dos Cabos M Lot'!$C$12:$I$14,7),(IF(J135="Triplex",VLOOKUP(M135,'Características dos Cabos M Lot'!$C$15:$J$20,8),(IF(J135="Quadruplex",VLOOKUP(M135,'Características dos Cabos M Lot'!$C$21:$K$27,9),(IF(J135="13",VLOOKUP(M135,'Características dos Cabos M Lot'!$C$15:$L$20,10),"")))))))</f>
        <v/>
      </c>
      <c r="M135" s="353" t="str">
        <f t="shared" si="38"/>
        <v/>
      </c>
      <c r="N135" s="378"/>
      <c r="O135" s="203" t="str">
        <f t="shared" si="42"/>
        <v/>
      </c>
      <c r="P135" s="203" t="str">
        <f>IF(O135="","",SUM($O$126:O135)+$Z$126)</f>
        <v/>
      </c>
      <c r="Q135" s="203" t="str">
        <f t="shared" si="39"/>
        <v/>
      </c>
      <c r="R135" s="204" t="str">
        <f>IF(J135="Duplex",VLOOKUP(M135,'Características dos Cabos MX CH'!$C$12:$I$14,5),(IF(J135="Triplex",VLOOKUP(M135,'Características dos Cabos MX CH'!$C$15:$J$20,5),(IF(J135="Quadruplex",VLOOKUP(M135,'Características dos Cabos MX CH'!$C$21:$K$27,5),(IF(J135="13",VLOOKUP(M135,'Características dos Cabos MX CH'!$C$15:$L$20,5),"")))))))</f>
        <v/>
      </c>
      <c r="S135" s="204" t="str">
        <f>IF(J135="Duplex",VLOOKUP(M135,'Características dos Cabos MX CH'!$C$12:$I$14,6),(IF(J135="Triplex",VLOOKUP(M135,'Características dos Cabos MX CH'!$C$15:$J$20,6),(IF(J135="Quadruplex",VLOOKUP(M135,'Características dos Cabos MX CH'!$C$21:$K$27,6),(IF(J135="13",VLOOKUP(M135,'Características dos Cabos MX CH'!$C$15:$L$20,6),"")))))))</f>
        <v/>
      </c>
      <c r="T135" s="561" t="str">
        <f t="shared" si="44"/>
        <v/>
      </c>
      <c r="U135" s="448" t="str">
        <f>IF(J135="Duplex",VLOOKUP(M135,'Características dos Cabos MX CH'!$C$12:$I$14,2),(IF(J135="Triplex",VLOOKUP(M135,'Características dos Cabos MX CH'!$C$15:$J$20,2),(IF(J135="Quadruplex",VLOOKUP(M135,'Características dos Cabos MX CH'!$C$21:$K$27,2),(IF(J135="13",VLOOKUP(M135,'Características dos Cabos MX CH'!$C$15:$L$20,2),"")))))))</f>
        <v/>
      </c>
      <c r="V135" s="204" t="str">
        <f>IF(J135="Duplex",VLOOKUP(M135,'Características dos Cabos MX CH'!$C$12:$I$14,3),(IF(J135="Triplex",VLOOKUP(M135,'Características dos Cabos MX CH'!$C$15:$J$20,3),(IF(J135="Quadruplex",VLOOKUP(M135,'Características dos Cabos MX CH'!$C$21:$K$27,3),(IF(J135="13",VLOOKUP(M135,'Características dos Cabos MX CH'!$C$15:$L$20,3),"")))))))</f>
        <v/>
      </c>
      <c r="W135" s="206" t="str">
        <f t="shared" si="45"/>
        <v/>
      </c>
      <c r="X135" s="206" t="str">
        <f t="shared" si="46"/>
        <v/>
      </c>
      <c r="Y135" s="207" t="str">
        <f t="shared" si="47"/>
        <v/>
      </c>
      <c r="AA135" s="396">
        <f t="shared" si="43"/>
        <v>0</v>
      </c>
      <c r="AB135" s="396">
        <f t="shared" si="48"/>
        <v>0</v>
      </c>
      <c r="AC135" s="395"/>
      <c r="AE135" s="357" t="str">
        <f t="shared" si="37"/>
        <v/>
      </c>
      <c r="AF135" s="426">
        <f t="shared" si="41"/>
        <v>0</v>
      </c>
    </row>
    <row r="136" spans="1:32" ht="15" customHeight="1" thickTop="1">
      <c r="A136" s="696"/>
      <c r="B136" s="700" t="str">
        <f>CONCATENATE("Ramal 10 - Derivando no ponto ",C136)</f>
        <v xml:space="preserve">Ramal 10 - Derivando no ponto </v>
      </c>
      <c r="C136" s="571"/>
      <c r="D136" s="371"/>
      <c r="E136" s="374"/>
      <c r="F136" s="459" t="str">
        <f t="shared" si="36"/>
        <v/>
      </c>
      <c r="G136" s="386"/>
      <c r="H136" s="209" t="str">
        <f>IF(AND(E136="",G136=""),"",SUM(F136:G145))</f>
        <v/>
      </c>
      <c r="I136" s="210"/>
      <c r="J136" s="224"/>
      <c r="K136" s="224"/>
      <c r="L136" s="211" t="str">
        <f>IF(J136="Duplex",VLOOKUP(M136,'Características dos Cabos M Lot'!$C$12:$I$14,7),(IF(J136="Triplex",VLOOKUP(M136,'Características dos Cabos M Lot'!$C$15:$J$20,8),(IF(J136="Quadruplex",VLOOKUP(M136,'Características dos Cabos M Lot'!$C$21:$K$27,9),(IF(J136="13",VLOOKUP(M136,'Características dos Cabos M Lot'!$C$15:$L$20,10),"")))))))</f>
        <v/>
      </c>
      <c r="M136" s="354" t="str">
        <f t="shared" si="38"/>
        <v/>
      </c>
      <c r="N136" s="379"/>
      <c r="O136" s="212" t="str">
        <f t="shared" si="42"/>
        <v/>
      </c>
      <c r="P136" s="212" t="str">
        <f>IF(O136="","",O136+VLOOKUP(C136,$D$20:$Q$135,13,FALSE))</f>
        <v/>
      </c>
      <c r="Q136" s="212" t="str">
        <f t="shared" si="39"/>
        <v/>
      </c>
      <c r="R136" s="213" t="str">
        <f>IF(J136="Duplex",VLOOKUP(M136,'Características dos Cabos MX CH'!$C$12:$I$14,5),(IF(J136="Triplex",VLOOKUP(M136,'Características dos Cabos MX CH'!$C$15:$J$20,5),(IF(J136="Quadruplex",VLOOKUP(M136,'Características dos Cabos MX CH'!$C$21:$K$27,5),(IF(J136="13",VLOOKUP(M136,'Características dos Cabos MX CH'!$C$15:$L$20,5),"")))))))</f>
        <v/>
      </c>
      <c r="S136" s="213" t="str">
        <f>IF(J136="Duplex",VLOOKUP(M136,'Características dos Cabos MX CH'!$C$12:$I$14,6),(IF(J136="Triplex",VLOOKUP(M136,'Características dos Cabos MX CH'!$C$15:$J$20,6),(IF(J136="Quadruplex",VLOOKUP(M136,'Características dos Cabos MX CH'!$C$21:$K$27,6),(IF(J136="13",VLOOKUP(M136,'Características dos Cabos MX CH'!$C$15:$L$20,6),"")))))))</f>
        <v/>
      </c>
      <c r="T136" s="214" t="str">
        <f t="shared" si="44"/>
        <v/>
      </c>
      <c r="U136" s="450" t="str">
        <f>IF(J136="Duplex",VLOOKUP(M136,'Características dos Cabos MX CH'!$C$12:$I$14,2),(IF(J136="Triplex",VLOOKUP(M136,'Características dos Cabos MX CH'!$C$15:$J$20,2),(IF(J136="Quadruplex",VLOOKUP(M136,'Características dos Cabos MX CH'!$C$21:$K$27,2),(IF(J136="13",VLOOKUP(M136,'Características dos Cabos MX CH'!$C$15:$L$20,2),"")))))))</f>
        <v/>
      </c>
      <c r="V136" s="213" t="str">
        <f>IF(J136="Duplex",VLOOKUP(M136,'Características dos Cabos MX CH'!$C$12:$I$14,3),(IF(J136="Triplex",VLOOKUP(M136,'Características dos Cabos MX CH'!$C$15:$J$20,3),(IF(J136="Quadruplex",VLOOKUP(M136,'Características dos Cabos MX CH'!$C$21:$K$27,3),(IF(J136="13",VLOOKUP(M136,'Características dos Cabos MX CH'!$C$15:$L$20,3),"")))))))</f>
        <v/>
      </c>
      <c r="W136" s="215" t="str">
        <f t="shared" si="45"/>
        <v/>
      </c>
      <c r="X136" s="215" t="str">
        <f t="shared" si="46"/>
        <v/>
      </c>
      <c r="Y136" s="216" t="str">
        <f t="shared" si="47"/>
        <v/>
      </c>
      <c r="Z136" s="393" t="str">
        <f>IF(O136="","",VLOOKUP(C136,$D$20:$P$135,13,FALSE))</f>
        <v/>
      </c>
      <c r="AA136" s="396">
        <f t="shared" si="43"/>
        <v>0</v>
      </c>
      <c r="AB136" s="396">
        <f t="shared" si="49" ref="AB136:AB145">K136</f>
        <v>0</v>
      </c>
      <c r="AC136" s="395"/>
      <c r="AE136" s="357" t="str">
        <f t="shared" si="37"/>
        <v/>
      </c>
      <c r="AF136" s="426">
        <f t="shared" si="41"/>
        <v>0</v>
      </c>
    </row>
    <row r="137" spans="1:32" ht="15" customHeight="1">
      <c r="A137" s="696"/>
      <c r="B137" s="698"/>
      <c r="C137" s="568"/>
      <c r="D137" s="368"/>
      <c r="E137" s="372"/>
      <c r="F137" s="357" t="str">
        <f t="shared" si="36"/>
        <v/>
      </c>
      <c r="G137" s="384"/>
      <c r="H137" s="190" t="str">
        <f>IF(AND(E137="",G137=""),"",SUM(F137:G145))</f>
        <v/>
      </c>
      <c r="I137" s="191"/>
      <c r="J137" s="222"/>
      <c r="K137" s="222"/>
      <c r="L137" s="197" t="str">
        <f>IF(J137="Duplex",VLOOKUP(M137,'Características dos Cabos M Lot'!$C$12:$I$14,7),(IF(J137="Triplex",VLOOKUP(M137,'Características dos Cabos M Lot'!$C$15:$J$20,8),(IF(J137="Quadruplex",VLOOKUP(M137,'Características dos Cabos M Lot'!$C$21:$K$27,9),(IF(J137="13",VLOOKUP(M137,'Características dos Cabos M Lot'!$C$15:$L$20,10),"")))))))</f>
        <v/>
      </c>
      <c r="M137" s="350" t="str">
        <f t="shared" si="38"/>
        <v/>
      </c>
      <c r="N137" s="377"/>
      <c r="O137" s="192" t="str">
        <f t="shared" si="42"/>
        <v/>
      </c>
      <c r="P137" s="192" t="str">
        <f>IF(O137="","",SUM($O$136:O137)+$Z$136)</f>
        <v/>
      </c>
      <c r="Q137" s="192" t="str">
        <f t="shared" si="39"/>
        <v/>
      </c>
      <c r="R137" s="193" t="str">
        <f>IF(J137="Duplex",VLOOKUP(M137,'Características dos Cabos MX CH'!$C$12:$I$14,5),(IF(J137="Triplex",VLOOKUP(M137,'Características dos Cabos MX CH'!$C$15:$J$20,5),(IF(J137="Quadruplex",VLOOKUP(M137,'Características dos Cabos MX CH'!$C$21:$K$27,5),(IF(J137="13",VLOOKUP(M137,'Características dos Cabos MX CH'!$C$15:$L$20,5),"")))))))</f>
        <v/>
      </c>
      <c r="S137" s="193" t="str">
        <f>IF(J137="Duplex",VLOOKUP(M137,'Características dos Cabos MX CH'!$C$12:$I$14,6),(IF(J137="Triplex",VLOOKUP(M137,'Características dos Cabos MX CH'!$C$15:$J$20,6),(IF(J137="Quadruplex",VLOOKUP(M137,'Características dos Cabos MX CH'!$C$21:$K$27,6),(IF(J137="13",VLOOKUP(M137,'Características dos Cabos MX CH'!$C$15:$L$20,6),"")))))))</f>
        <v/>
      </c>
      <c r="T137" s="194" t="str">
        <f t="shared" si="44"/>
        <v/>
      </c>
      <c r="U137" s="447" t="str">
        <f>IF(J137="Duplex",VLOOKUP(M137,'Características dos Cabos MX CH'!$C$12:$I$14,2),(IF(J137="Triplex",VLOOKUP(M137,'Características dos Cabos MX CH'!$C$15:$J$20,2),(IF(J137="Quadruplex",VLOOKUP(M137,'Características dos Cabos MX CH'!$C$21:$K$27,2),(IF(J137="13",VLOOKUP(M137,'Características dos Cabos MX CH'!$C$15:$L$20,2),"")))))))</f>
        <v/>
      </c>
      <c r="V137" s="193" t="str">
        <f>IF(J137="Duplex",VLOOKUP(M137,'Características dos Cabos MX CH'!$C$12:$I$14,3),(IF(J137="Triplex",VLOOKUP(M137,'Características dos Cabos MX CH'!$C$15:$J$20,3),(IF(J137="Quadruplex",VLOOKUP(M137,'Características dos Cabos MX CH'!$C$21:$K$27,3),(IF(J137="13",VLOOKUP(M137,'Características dos Cabos MX CH'!$C$15:$L$20,3),"")))))))</f>
        <v/>
      </c>
      <c r="W137" s="195" t="str">
        <f t="shared" si="45"/>
        <v/>
      </c>
      <c r="X137" s="195" t="str">
        <f t="shared" si="46"/>
        <v/>
      </c>
      <c r="Y137" s="196" t="str">
        <f t="shared" si="47"/>
        <v/>
      </c>
      <c r="AA137" s="396">
        <f t="shared" si="43"/>
        <v>0</v>
      </c>
      <c r="AB137" s="396">
        <f t="shared" si="49"/>
        <v>0</v>
      </c>
      <c r="AC137" s="395"/>
      <c r="AE137" s="357" t="str">
        <f t="shared" si="37"/>
        <v/>
      </c>
      <c r="AF137" s="426">
        <f t="shared" si="41"/>
        <v>0</v>
      </c>
    </row>
    <row r="138" spans="1:32" ht="15" customHeight="1">
      <c r="A138" s="696"/>
      <c r="B138" s="698"/>
      <c r="C138" s="568"/>
      <c r="D138" s="368"/>
      <c r="E138" s="372"/>
      <c r="F138" s="357" t="str">
        <f t="shared" si="36"/>
        <v/>
      </c>
      <c r="G138" s="384"/>
      <c r="H138" s="190" t="str">
        <f>IF(AND(E138="",G138=""),"",SUM(F138:G145))</f>
        <v/>
      </c>
      <c r="I138" s="191"/>
      <c r="J138" s="222"/>
      <c r="K138" s="222"/>
      <c r="L138" s="197" t="str">
        <f>IF(J138="Duplex",VLOOKUP(M138,'Características dos Cabos M Lot'!$C$12:$I$14,7),(IF(J138="Triplex",VLOOKUP(M138,'Características dos Cabos M Lot'!$C$15:$J$20,8),(IF(J138="Quadruplex",VLOOKUP(M138,'Características dos Cabos M Lot'!$C$21:$K$27,9),(IF(J138="13",VLOOKUP(M138,'Características dos Cabos M Lot'!$C$15:$L$20,10),"")))))))</f>
        <v/>
      </c>
      <c r="M138" s="350" t="str">
        <f t="shared" si="38"/>
        <v/>
      </c>
      <c r="N138" s="377"/>
      <c r="O138" s="192" t="str">
        <f t="shared" si="42"/>
        <v/>
      </c>
      <c r="P138" s="192" t="str">
        <f>IF(O138="","",SUM($O$136:O138)+$Z$136)</f>
        <v/>
      </c>
      <c r="Q138" s="192" t="str">
        <f t="shared" si="39"/>
        <v/>
      </c>
      <c r="R138" s="193" t="str">
        <f>IF(J138="Duplex",VLOOKUP(M138,'Características dos Cabos MX CH'!$C$12:$I$14,5),(IF(J138="Triplex",VLOOKUP(M138,'Características dos Cabos MX CH'!$C$15:$J$20,5),(IF(J138="Quadruplex",VLOOKUP(M138,'Características dos Cabos MX CH'!$C$21:$K$27,5),(IF(J138="13",VLOOKUP(M138,'Características dos Cabos MX CH'!$C$15:$L$20,5),"")))))))</f>
        <v/>
      </c>
      <c r="S138" s="193" t="str">
        <f>IF(J138="Duplex",VLOOKUP(M138,'Características dos Cabos MX CH'!$C$12:$I$14,6),(IF(J138="Triplex",VLOOKUP(M138,'Características dos Cabos MX CH'!$C$15:$J$20,6),(IF(J138="Quadruplex",VLOOKUP(M138,'Características dos Cabos MX CH'!$C$21:$K$27,6),(IF(J138="13",VLOOKUP(M138,'Características dos Cabos MX CH'!$C$15:$L$20,6),"")))))))</f>
        <v/>
      </c>
      <c r="T138" s="194" t="str">
        <f t="shared" si="44"/>
        <v/>
      </c>
      <c r="U138" s="447" t="str">
        <f>IF(J138="Duplex",VLOOKUP(M138,'Características dos Cabos MX CH'!$C$12:$I$14,2),(IF(J138="Triplex",VLOOKUP(M138,'Características dos Cabos MX CH'!$C$15:$J$20,2),(IF(J138="Quadruplex",VLOOKUP(M138,'Características dos Cabos MX CH'!$C$21:$K$27,2),(IF(J138="13",VLOOKUP(M138,'Características dos Cabos MX CH'!$C$15:$L$20,2),"")))))))</f>
        <v/>
      </c>
      <c r="V138" s="193" t="str">
        <f>IF(J138="Duplex",VLOOKUP(M138,'Características dos Cabos MX CH'!$C$12:$I$14,3),(IF(J138="Triplex",VLOOKUP(M138,'Características dos Cabos MX CH'!$C$15:$J$20,3),(IF(J138="Quadruplex",VLOOKUP(M138,'Características dos Cabos MX CH'!$C$21:$K$27,3),(IF(J138="13",VLOOKUP(M138,'Características dos Cabos MX CH'!$C$15:$L$20,3),"")))))))</f>
        <v/>
      </c>
      <c r="W138" s="195" t="str">
        <f t="shared" si="45"/>
        <v/>
      </c>
      <c r="X138" s="195" t="str">
        <f t="shared" si="46"/>
        <v/>
      </c>
      <c r="Y138" s="196" t="str">
        <f t="shared" si="47"/>
        <v/>
      </c>
      <c r="AA138" s="396">
        <f t="shared" si="43"/>
        <v>0</v>
      </c>
      <c r="AB138" s="396">
        <f t="shared" si="49"/>
        <v>0</v>
      </c>
      <c r="AC138" s="395"/>
      <c r="AE138" s="357" t="str">
        <f t="shared" si="37"/>
        <v/>
      </c>
      <c r="AF138" s="426">
        <f t="shared" si="41"/>
        <v>0</v>
      </c>
    </row>
    <row r="139" spans="1:32" ht="15" customHeight="1">
      <c r="A139" s="696"/>
      <c r="B139" s="698"/>
      <c r="C139" s="568"/>
      <c r="D139" s="368"/>
      <c r="E139" s="372"/>
      <c r="F139" s="357" t="str">
        <f t="shared" si="36"/>
        <v/>
      </c>
      <c r="G139" s="384"/>
      <c r="H139" s="190" t="str">
        <f>IF(AND(E139="",G139=""),"",SUM(F139:G145))</f>
        <v/>
      </c>
      <c r="I139" s="191"/>
      <c r="J139" s="222"/>
      <c r="K139" s="222"/>
      <c r="L139" s="197" t="str">
        <f>IF(J139="Duplex",VLOOKUP(M139,'Características dos Cabos M Lot'!$C$12:$I$14,7),(IF(J139="Triplex",VLOOKUP(M139,'Características dos Cabos M Lot'!$C$15:$J$20,8),(IF(J139="Quadruplex",VLOOKUP(M139,'Características dos Cabos M Lot'!$C$21:$K$27,9),(IF(J139="13",VLOOKUP(M139,'Características dos Cabos M Lot'!$C$15:$L$20,10),"")))))))</f>
        <v/>
      </c>
      <c r="M139" s="350" t="str">
        <f t="shared" si="38"/>
        <v/>
      </c>
      <c r="N139" s="377"/>
      <c r="O139" s="192" t="str">
        <f t="shared" si="42"/>
        <v/>
      </c>
      <c r="P139" s="192" t="str">
        <f>IF(O139="","",SUM($O$136:O139)+$Z$136)</f>
        <v/>
      </c>
      <c r="Q139" s="192" t="str">
        <f t="shared" si="39"/>
        <v/>
      </c>
      <c r="R139" s="193" t="str">
        <f>IF(J139="Duplex",VLOOKUP(M139,'Características dos Cabos MX CH'!$C$12:$I$14,5),(IF(J139="Triplex",VLOOKUP(M139,'Características dos Cabos MX CH'!$C$15:$J$20,5),(IF(J139="Quadruplex",VLOOKUP(M139,'Características dos Cabos MX CH'!$C$21:$K$27,5),(IF(J139="13",VLOOKUP(M139,'Características dos Cabos MX CH'!$C$15:$L$20,5),"")))))))</f>
        <v/>
      </c>
      <c r="S139" s="193" t="str">
        <f>IF(J139="Duplex",VLOOKUP(M139,'Características dos Cabos MX CH'!$C$12:$I$14,6),(IF(J139="Triplex",VLOOKUP(M139,'Características dos Cabos MX CH'!$C$15:$J$20,6),(IF(J139="Quadruplex",VLOOKUP(M139,'Características dos Cabos MX CH'!$C$21:$K$27,6),(IF(J139="13",VLOOKUP(M139,'Características dos Cabos MX CH'!$C$15:$L$20,6),"")))))))</f>
        <v/>
      </c>
      <c r="T139" s="194" t="str">
        <f t="shared" si="44"/>
        <v/>
      </c>
      <c r="U139" s="447" t="str">
        <f>IF(J139="Duplex",VLOOKUP(M139,'Características dos Cabos MX CH'!$C$12:$I$14,2),(IF(J139="Triplex",VLOOKUP(M139,'Características dos Cabos MX CH'!$C$15:$J$20,2),(IF(J139="Quadruplex",VLOOKUP(M139,'Características dos Cabos MX CH'!$C$21:$K$27,2),(IF(J139="13",VLOOKUP(M139,'Características dos Cabos MX CH'!$C$15:$L$20,2),"")))))))</f>
        <v/>
      </c>
      <c r="V139" s="193" t="str">
        <f>IF(J139="Duplex",VLOOKUP(M139,'Características dos Cabos MX CH'!$C$12:$I$14,3),(IF(J139="Triplex",VLOOKUP(M139,'Características dos Cabos MX CH'!$C$15:$J$20,3),(IF(J139="Quadruplex",VLOOKUP(M139,'Características dos Cabos MX CH'!$C$21:$K$27,3),(IF(J139="13",VLOOKUP(M139,'Características dos Cabos MX CH'!$C$15:$L$20,3),"")))))))</f>
        <v/>
      </c>
      <c r="W139" s="195" t="str">
        <f t="shared" si="45"/>
        <v/>
      </c>
      <c r="X139" s="195" t="str">
        <f t="shared" si="46"/>
        <v/>
      </c>
      <c r="Y139" s="196" t="str">
        <f t="shared" si="47"/>
        <v/>
      </c>
      <c r="AA139" s="396">
        <f t="shared" si="43"/>
        <v>0</v>
      </c>
      <c r="AB139" s="396">
        <f t="shared" si="49"/>
        <v>0</v>
      </c>
      <c r="AC139" s="395"/>
      <c r="AE139" s="357" t="str">
        <f t="shared" si="37"/>
        <v/>
      </c>
      <c r="AF139" s="426">
        <f t="shared" si="41"/>
        <v>0</v>
      </c>
    </row>
    <row r="140" spans="1:32" ht="15" customHeight="1">
      <c r="A140" s="696"/>
      <c r="B140" s="698"/>
      <c r="C140" s="568"/>
      <c r="D140" s="368"/>
      <c r="E140" s="372"/>
      <c r="F140" s="357" t="str">
        <f t="shared" si="36"/>
        <v/>
      </c>
      <c r="G140" s="384"/>
      <c r="H140" s="190" t="str">
        <f>IF(AND(E140="",G140=""),"",SUM(F140:G145))</f>
        <v/>
      </c>
      <c r="I140" s="191"/>
      <c r="J140" s="222"/>
      <c r="K140" s="222"/>
      <c r="L140" s="197" t="str">
        <f>IF(J140="Duplex",VLOOKUP(M140,'Características dos Cabos M Lot'!$C$12:$I$14,7),(IF(J140="Triplex",VLOOKUP(M140,'Características dos Cabos M Lot'!$C$15:$J$20,8),(IF(J140="Quadruplex",VLOOKUP(M140,'Características dos Cabos M Lot'!$C$21:$K$27,9),(IF(J140="13",VLOOKUP(M140,'Características dos Cabos M Lot'!$C$15:$L$20,10),"")))))))</f>
        <v/>
      </c>
      <c r="M140" s="350" t="str">
        <f t="shared" si="38"/>
        <v/>
      </c>
      <c r="N140" s="377"/>
      <c r="O140" s="192" t="str">
        <f t="shared" si="42"/>
        <v/>
      </c>
      <c r="P140" s="192" t="str">
        <f>IF(O140="","",SUM($O$136:O140)+$Z$136)</f>
        <v/>
      </c>
      <c r="Q140" s="192" t="str">
        <f t="shared" si="39"/>
        <v/>
      </c>
      <c r="R140" s="193" t="str">
        <f>IF(J140="Duplex",VLOOKUP(M140,'Características dos Cabos MX CH'!$C$12:$I$14,5),(IF(J140="Triplex",VLOOKUP(M140,'Características dos Cabos MX CH'!$C$15:$J$20,5),(IF(J140="Quadruplex",VLOOKUP(M140,'Características dos Cabos MX CH'!$C$21:$K$27,5),(IF(J140="13",VLOOKUP(M140,'Características dos Cabos MX CH'!$C$15:$L$20,5),"")))))))</f>
        <v/>
      </c>
      <c r="S140" s="193" t="str">
        <f>IF(J140="Duplex",VLOOKUP(M140,'Características dos Cabos MX CH'!$C$12:$I$14,6),(IF(J140="Triplex",VLOOKUP(M140,'Características dos Cabos MX CH'!$C$15:$J$20,6),(IF(J140="Quadruplex",VLOOKUP(M140,'Características dos Cabos MX CH'!$C$21:$K$27,6),(IF(J140="13",VLOOKUP(M140,'Características dos Cabos MX CH'!$C$15:$L$20,6),"")))))))</f>
        <v/>
      </c>
      <c r="T140" s="194" t="str">
        <f t="shared" si="44"/>
        <v/>
      </c>
      <c r="U140" s="447" t="str">
        <f>IF(J140="Duplex",VLOOKUP(M140,'Características dos Cabos MX CH'!$C$12:$I$14,2),(IF(J140="Triplex",VLOOKUP(M140,'Características dos Cabos MX CH'!$C$15:$J$20,2),(IF(J140="Quadruplex",VLOOKUP(M140,'Características dos Cabos MX CH'!$C$21:$K$27,2),(IF(J140="13",VLOOKUP(M140,'Características dos Cabos MX CH'!$C$15:$L$20,2),"")))))))</f>
        <v/>
      </c>
      <c r="V140" s="193" t="str">
        <f>IF(J140="Duplex",VLOOKUP(M140,'Características dos Cabos MX CH'!$C$12:$I$14,3),(IF(J140="Triplex",VLOOKUP(M140,'Características dos Cabos MX CH'!$C$15:$J$20,3),(IF(J140="Quadruplex",VLOOKUP(M140,'Características dos Cabos MX CH'!$C$21:$K$27,3),(IF(J140="13",VLOOKUP(M140,'Características dos Cabos MX CH'!$C$15:$L$20,3),"")))))))</f>
        <v/>
      </c>
      <c r="W140" s="195" t="str">
        <f t="shared" si="45"/>
        <v/>
      </c>
      <c r="X140" s="195" t="str">
        <f t="shared" si="46"/>
        <v/>
      </c>
      <c r="Y140" s="196" t="str">
        <f t="shared" si="47"/>
        <v/>
      </c>
      <c r="AA140" s="396">
        <f t="shared" si="43"/>
        <v>0</v>
      </c>
      <c r="AB140" s="396">
        <f t="shared" si="49"/>
        <v>0</v>
      </c>
      <c r="AC140" s="395"/>
      <c r="AE140" s="357" t="str">
        <f t="shared" si="37"/>
        <v/>
      </c>
      <c r="AF140" s="426">
        <f t="shared" si="41"/>
        <v>0</v>
      </c>
    </row>
    <row r="141" spans="1:32" ht="15" customHeight="1">
      <c r="A141" s="696"/>
      <c r="B141" s="698"/>
      <c r="C141" s="568"/>
      <c r="D141" s="368"/>
      <c r="E141" s="372"/>
      <c r="F141" s="357" t="str">
        <f t="shared" si="36"/>
        <v/>
      </c>
      <c r="G141" s="384"/>
      <c r="H141" s="190" t="str">
        <f>IF(AND(E141="",G141=""),"",SUM(F141:G145))</f>
        <v/>
      </c>
      <c r="I141" s="191"/>
      <c r="J141" s="222"/>
      <c r="K141" s="222"/>
      <c r="L141" s="197" t="str">
        <f>IF(J141="Duplex",VLOOKUP(M141,'Características dos Cabos M Lot'!$C$12:$I$14,7),(IF(J141="Triplex",VLOOKUP(M141,'Características dos Cabos M Lot'!$C$15:$J$20,8),(IF(J141="Quadruplex",VLOOKUP(M141,'Características dos Cabos M Lot'!$C$21:$K$27,9),(IF(J141="13",VLOOKUP(M141,'Características dos Cabos M Lot'!$C$15:$L$20,10),"")))))))</f>
        <v/>
      </c>
      <c r="M141" s="350" t="str">
        <f t="shared" si="38"/>
        <v/>
      </c>
      <c r="N141" s="377"/>
      <c r="O141" s="192" t="str">
        <f t="shared" si="42"/>
        <v/>
      </c>
      <c r="P141" s="192" t="str">
        <f>IF(O141="","",SUM($O$136:O141)+$Z$136)</f>
        <v/>
      </c>
      <c r="Q141" s="192" t="str">
        <f t="shared" si="39"/>
        <v/>
      </c>
      <c r="R141" s="193" t="str">
        <f>IF(J141="Duplex",VLOOKUP(M141,'Características dos Cabos MX CH'!$C$12:$I$14,5),(IF(J141="Triplex",VLOOKUP(M141,'Características dos Cabos MX CH'!$C$15:$J$20,5),(IF(J141="Quadruplex",VLOOKUP(M141,'Características dos Cabos MX CH'!$C$21:$K$27,5),(IF(J141="13",VLOOKUP(M141,'Características dos Cabos MX CH'!$C$15:$L$20,5),"")))))))</f>
        <v/>
      </c>
      <c r="S141" s="193" t="str">
        <f>IF(J141="Duplex",VLOOKUP(M141,'Características dos Cabos MX CH'!$C$12:$I$14,6),(IF(J141="Triplex",VLOOKUP(M141,'Características dos Cabos MX CH'!$C$15:$J$20,6),(IF(J141="Quadruplex",VLOOKUP(M141,'Características dos Cabos MX CH'!$C$21:$K$27,6),(IF(J141="13",VLOOKUP(M141,'Características dos Cabos MX CH'!$C$15:$L$20,6),"")))))))</f>
        <v/>
      </c>
      <c r="T141" s="194" t="str">
        <f t="shared" si="44"/>
        <v/>
      </c>
      <c r="U141" s="447" t="str">
        <f>IF(J141="Duplex",VLOOKUP(M141,'Características dos Cabos MX CH'!$C$12:$I$14,2),(IF(J141="Triplex",VLOOKUP(M141,'Características dos Cabos MX CH'!$C$15:$J$20,2),(IF(J141="Quadruplex",VLOOKUP(M141,'Características dos Cabos MX CH'!$C$21:$K$27,2),(IF(J141="13",VLOOKUP(M141,'Características dos Cabos MX CH'!$C$15:$L$20,2),"")))))))</f>
        <v/>
      </c>
      <c r="V141" s="193" t="str">
        <f>IF(J141="Duplex",VLOOKUP(M141,'Características dos Cabos MX CH'!$C$12:$I$14,3),(IF(J141="Triplex",VLOOKUP(M141,'Características dos Cabos MX CH'!$C$15:$J$20,3),(IF(J141="Quadruplex",VLOOKUP(M141,'Características dos Cabos MX CH'!$C$21:$K$27,3),(IF(J141="13",VLOOKUP(M141,'Características dos Cabos MX CH'!$C$15:$L$20,3),"")))))))</f>
        <v/>
      </c>
      <c r="W141" s="195" t="str">
        <f t="shared" si="45"/>
        <v/>
      </c>
      <c r="X141" s="195" t="str">
        <f t="shared" si="46"/>
        <v/>
      </c>
      <c r="Y141" s="196" t="str">
        <f t="shared" si="47"/>
        <v/>
      </c>
      <c r="AA141" s="396">
        <f t="shared" si="43"/>
        <v>0</v>
      </c>
      <c r="AB141" s="396">
        <f t="shared" si="49"/>
        <v>0</v>
      </c>
      <c r="AC141" s="395"/>
      <c r="AE141" s="357" t="str">
        <f t="shared" si="37"/>
        <v/>
      </c>
      <c r="AF141" s="426">
        <f t="shared" si="41"/>
        <v>0</v>
      </c>
    </row>
    <row r="142" spans="1:32" ht="15" customHeight="1">
      <c r="A142" s="696"/>
      <c r="B142" s="698"/>
      <c r="C142" s="568"/>
      <c r="D142" s="368"/>
      <c r="E142" s="372"/>
      <c r="F142" s="357" t="str">
        <f t="shared" si="36"/>
        <v/>
      </c>
      <c r="G142" s="384"/>
      <c r="H142" s="190" t="str">
        <f>IF(AND(E142="",G142=""),"",SUM(F142:G145))</f>
        <v/>
      </c>
      <c r="I142" s="191"/>
      <c r="J142" s="222"/>
      <c r="K142" s="222"/>
      <c r="L142" s="197" t="str">
        <f>IF(J142="Duplex",VLOOKUP(M142,'Características dos Cabos M Lot'!$C$12:$I$14,7),(IF(J142="Triplex",VLOOKUP(M142,'Características dos Cabos M Lot'!$C$15:$J$20,8),(IF(J142="Quadruplex",VLOOKUP(M142,'Características dos Cabos M Lot'!$C$21:$K$27,9),(IF(J142="13",VLOOKUP(M142,'Características dos Cabos M Lot'!$C$15:$L$20,10),"")))))))</f>
        <v/>
      </c>
      <c r="M142" s="350" t="str">
        <f t="shared" si="38"/>
        <v/>
      </c>
      <c r="N142" s="377"/>
      <c r="O142" s="192" t="str">
        <f t="shared" si="50" ref="O142:O173">IF(OR(N142="",L142="",H142=""),"",N142*L142*H142)</f>
        <v/>
      </c>
      <c r="P142" s="192" t="str">
        <f>IF(O142="","",SUM($O$136:O142)+$Z$136)</f>
        <v/>
      </c>
      <c r="Q142" s="192" t="str">
        <f t="shared" si="39"/>
        <v/>
      </c>
      <c r="R142" s="193" t="str">
        <f>IF(J142="Duplex",VLOOKUP(M142,'Características dos Cabos MX CH'!$C$12:$I$14,5),(IF(J142="Triplex",VLOOKUP(M142,'Características dos Cabos MX CH'!$C$15:$J$20,5),(IF(J142="Quadruplex",VLOOKUP(M142,'Características dos Cabos MX CH'!$C$21:$K$27,5),(IF(J142="13",VLOOKUP(M142,'Características dos Cabos MX CH'!$C$15:$L$20,5),"")))))))</f>
        <v/>
      </c>
      <c r="S142" s="193" t="str">
        <f>IF(J142="Duplex",VLOOKUP(M142,'Características dos Cabos MX CH'!$C$12:$I$14,6),(IF(J142="Triplex",VLOOKUP(M142,'Características dos Cabos MX CH'!$C$15:$J$20,6),(IF(J142="Quadruplex",VLOOKUP(M142,'Características dos Cabos MX CH'!$C$21:$K$27,6),(IF(J142="13",VLOOKUP(M142,'Características dos Cabos MX CH'!$C$15:$L$20,6),"")))))))</f>
        <v/>
      </c>
      <c r="T142" s="194" t="str">
        <f t="shared" si="44"/>
        <v/>
      </c>
      <c r="U142" s="447" t="str">
        <f>IF(J142="Duplex",VLOOKUP(M142,'Características dos Cabos MX CH'!$C$12:$I$14,2),(IF(J142="Triplex",VLOOKUP(M142,'Características dos Cabos MX CH'!$C$15:$J$20,2),(IF(J142="Quadruplex",VLOOKUP(M142,'Características dos Cabos MX CH'!$C$21:$K$27,2),(IF(J142="13",VLOOKUP(M142,'Características dos Cabos MX CH'!$C$15:$L$20,2),"")))))))</f>
        <v/>
      </c>
      <c r="V142" s="193" t="str">
        <f>IF(J142="Duplex",VLOOKUP(M142,'Características dos Cabos MX CH'!$C$12:$I$14,3),(IF(J142="Triplex",VLOOKUP(M142,'Características dos Cabos MX CH'!$C$15:$J$20,3),(IF(J142="Quadruplex",VLOOKUP(M142,'Características dos Cabos MX CH'!$C$21:$K$27,3),(IF(J142="13",VLOOKUP(M142,'Características dos Cabos MX CH'!$C$15:$L$20,3),"")))))))</f>
        <v/>
      </c>
      <c r="W142" s="195" t="str">
        <f t="shared" si="45"/>
        <v/>
      </c>
      <c r="X142" s="195" t="str">
        <f t="shared" si="46"/>
        <v/>
      </c>
      <c r="Y142" s="196" t="str">
        <f t="shared" si="47"/>
        <v/>
      </c>
      <c r="AA142" s="396">
        <f t="shared" si="51" ref="AA142:AA173">D142</f>
        <v>0</v>
      </c>
      <c r="AB142" s="396">
        <f t="shared" si="49"/>
        <v>0</v>
      </c>
      <c r="AC142" s="395"/>
      <c r="AE142" s="357" t="str">
        <f t="shared" si="37"/>
        <v/>
      </c>
      <c r="AF142" s="426">
        <f t="shared" si="41"/>
        <v>0</v>
      </c>
    </row>
    <row r="143" spans="1:32" ht="15" customHeight="1">
      <c r="A143" s="696"/>
      <c r="B143" s="698"/>
      <c r="C143" s="568"/>
      <c r="D143" s="368"/>
      <c r="E143" s="372"/>
      <c r="F143" s="357" t="str">
        <f t="shared" si="36"/>
        <v/>
      </c>
      <c r="G143" s="384"/>
      <c r="H143" s="190" t="str">
        <f>IF(AND(E143="",G143=""),"",SUM(F143:G145))</f>
        <v/>
      </c>
      <c r="I143" s="191"/>
      <c r="J143" s="222"/>
      <c r="K143" s="222"/>
      <c r="L143" s="197" t="str">
        <f>IF(J143="Duplex",VLOOKUP(M143,'Características dos Cabos M Lot'!$C$12:$I$14,7),(IF(J143="Triplex",VLOOKUP(M143,'Características dos Cabos M Lot'!$C$15:$J$20,8),(IF(J143="Quadruplex",VLOOKUP(M143,'Características dos Cabos M Lot'!$C$21:$K$27,9),(IF(J143="13",VLOOKUP(M143,'Características dos Cabos M Lot'!$C$15:$L$20,10),"")))))))</f>
        <v/>
      </c>
      <c r="M143" s="350" t="str">
        <f t="shared" si="38"/>
        <v/>
      </c>
      <c r="N143" s="377"/>
      <c r="O143" s="192" t="str">
        <f t="shared" si="50"/>
        <v/>
      </c>
      <c r="P143" s="192" t="str">
        <f>IF(O143="","",SUM($O$136:O143)+$Z$136)</f>
        <v/>
      </c>
      <c r="Q143" s="192" t="str">
        <f t="shared" si="39"/>
        <v/>
      </c>
      <c r="R143" s="193" t="str">
        <f>IF(J143="Duplex",VLOOKUP(M143,'Características dos Cabos MX CH'!$C$12:$I$14,5),(IF(J143="Triplex",VLOOKUP(M143,'Características dos Cabos MX CH'!$C$15:$J$20,5),(IF(J143="Quadruplex",VLOOKUP(M143,'Características dos Cabos MX CH'!$C$21:$K$27,5),(IF(J143="13",VLOOKUP(M143,'Características dos Cabos MX CH'!$C$15:$L$20,5),"")))))))</f>
        <v/>
      </c>
      <c r="S143" s="193" t="str">
        <f>IF(J143="Duplex",VLOOKUP(M143,'Características dos Cabos MX CH'!$C$12:$I$14,6),(IF(J143="Triplex",VLOOKUP(M143,'Características dos Cabos MX CH'!$C$15:$J$20,6),(IF(J143="Quadruplex",VLOOKUP(M143,'Características dos Cabos MX CH'!$C$21:$K$27,6),(IF(J143="13",VLOOKUP(M143,'Características dos Cabos MX CH'!$C$15:$L$20,6),"")))))))</f>
        <v/>
      </c>
      <c r="T143" s="194" t="str">
        <f t="shared" si="44"/>
        <v/>
      </c>
      <c r="U143" s="447" t="str">
        <f>IF(J143="Duplex",VLOOKUP(M143,'Características dos Cabos MX CH'!$C$12:$I$14,2),(IF(J143="Triplex",VLOOKUP(M143,'Características dos Cabos MX CH'!$C$15:$J$20,2),(IF(J143="Quadruplex",VLOOKUP(M143,'Características dos Cabos MX CH'!$C$21:$K$27,2),(IF(J143="13",VLOOKUP(M143,'Características dos Cabos MX CH'!$C$15:$L$20,2),"")))))))</f>
        <v/>
      </c>
      <c r="V143" s="193" t="str">
        <f>IF(J143="Duplex",VLOOKUP(M143,'Características dos Cabos MX CH'!$C$12:$I$14,3),(IF(J143="Triplex",VLOOKUP(M143,'Características dos Cabos MX CH'!$C$15:$J$20,3),(IF(J143="Quadruplex",VLOOKUP(M143,'Características dos Cabos MX CH'!$C$21:$K$27,3),(IF(J143="13",VLOOKUP(M143,'Características dos Cabos MX CH'!$C$15:$L$20,3),"")))))))</f>
        <v/>
      </c>
      <c r="W143" s="195" t="str">
        <f t="shared" si="45"/>
        <v/>
      </c>
      <c r="X143" s="195" t="str">
        <f t="shared" si="46"/>
        <v/>
      </c>
      <c r="Y143" s="196" t="str">
        <f t="shared" si="47"/>
        <v/>
      </c>
      <c r="AA143" s="396">
        <f t="shared" si="51"/>
        <v>0</v>
      </c>
      <c r="AB143" s="396">
        <f t="shared" si="49"/>
        <v>0</v>
      </c>
      <c r="AC143" s="395"/>
      <c r="AE143" s="357" t="str">
        <f t="shared" si="37"/>
        <v/>
      </c>
      <c r="AF143" s="426">
        <f t="shared" si="41"/>
        <v>0</v>
      </c>
    </row>
    <row r="144" spans="1:32" ht="15" customHeight="1">
      <c r="A144" s="696"/>
      <c r="B144" s="698"/>
      <c r="C144" s="568"/>
      <c r="D144" s="368"/>
      <c r="E144" s="372"/>
      <c r="F144" s="357" t="str">
        <f t="shared" si="36"/>
        <v/>
      </c>
      <c r="G144" s="384"/>
      <c r="H144" s="190" t="str">
        <f>IF(AND(E144="",G144=""),"",SUM(F144:G145))</f>
        <v/>
      </c>
      <c r="I144" s="191"/>
      <c r="J144" s="222"/>
      <c r="K144" s="222"/>
      <c r="L144" s="197" t="str">
        <f>IF(J144="Duplex",VLOOKUP(M144,'Características dos Cabos M Lot'!$C$12:$I$14,7),(IF(J144="Triplex",VLOOKUP(M144,'Características dos Cabos M Lot'!$C$15:$J$20,8),(IF(J144="Quadruplex",VLOOKUP(M144,'Características dos Cabos M Lot'!$C$21:$K$27,9),(IF(J144="13",VLOOKUP(M144,'Características dos Cabos M Lot'!$C$15:$L$20,10),"")))))))</f>
        <v/>
      </c>
      <c r="M144" s="350" t="str">
        <f t="shared" si="38"/>
        <v/>
      </c>
      <c r="N144" s="377"/>
      <c r="O144" s="192" t="str">
        <f t="shared" si="50"/>
        <v/>
      </c>
      <c r="P144" s="192" t="str">
        <f>IF(O144="","",SUM($O$136:O144)+$Z$136)</f>
        <v/>
      </c>
      <c r="Q144" s="192" t="str">
        <f t="shared" si="39"/>
        <v/>
      </c>
      <c r="R144" s="193" t="str">
        <f>IF(J144="Duplex",VLOOKUP(M144,'Características dos Cabos MX CH'!$C$12:$I$14,5),(IF(J144="Triplex",VLOOKUP(M144,'Características dos Cabos MX CH'!$C$15:$J$20,5),(IF(J144="Quadruplex",VLOOKUP(M144,'Características dos Cabos MX CH'!$C$21:$K$27,5),(IF(J144="13",VLOOKUP(M144,'Características dos Cabos MX CH'!$C$15:$L$20,5),"")))))))</f>
        <v/>
      </c>
      <c r="S144" s="193" t="str">
        <f>IF(J144="Duplex",VLOOKUP(M144,'Características dos Cabos MX CH'!$C$12:$I$14,6),(IF(J144="Triplex",VLOOKUP(M144,'Características dos Cabos MX CH'!$C$15:$J$20,6),(IF(J144="Quadruplex",VLOOKUP(M144,'Características dos Cabos MX CH'!$C$21:$K$27,6),(IF(J144="13",VLOOKUP(M144,'Características dos Cabos MX CH'!$C$15:$L$20,6),"")))))))</f>
        <v/>
      </c>
      <c r="T144" s="194" t="str">
        <f t="shared" si="44"/>
        <v/>
      </c>
      <c r="U144" s="447" t="str">
        <f>IF(J144="Duplex",VLOOKUP(M144,'Características dos Cabos MX CH'!$C$12:$I$14,2),(IF(J144="Triplex",VLOOKUP(M144,'Características dos Cabos MX CH'!$C$15:$J$20,2),(IF(J144="Quadruplex",VLOOKUP(M144,'Características dos Cabos MX CH'!$C$21:$K$27,2),(IF(J144="13",VLOOKUP(M144,'Características dos Cabos MX CH'!$C$15:$L$20,2),"")))))))</f>
        <v/>
      </c>
      <c r="V144" s="193" t="str">
        <f>IF(J144="Duplex",VLOOKUP(M144,'Características dos Cabos MX CH'!$C$12:$I$14,3),(IF(J144="Triplex",VLOOKUP(M144,'Características dos Cabos MX CH'!$C$15:$J$20,3),(IF(J144="Quadruplex",VLOOKUP(M144,'Características dos Cabos MX CH'!$C$21:$K$27,3),(IF(J144="13",VLOOKUP(M144,'Características dos Cabos MX CH'!$C$15:$L$20,3),"")))))))</f>
        <v/>
      </c>
      <c r="W144" s="195" t="str">
        <f t="shared" si="45"/>
        <v/>
      </c>
      <c r="X144" s="195" t="str">
        <f t="shared" si="46"/>
        <v/>
      </c>
      <c r="Y144" s="196" t="str">
        <f t="shared" si="47"/>
        <v/>
      </c>
      <c r="AA144" s="396">
        <f t="shared" si="51"/>
        <v>0</v>
      </c>
      <c r="AB144" s="396">
        <f t="shared" si="49"/>
        <v>0</v>
      </c>
      <c r="AC144" s="395"/>
      <c r="AE144" s="357" t="str">
        <f t="shared" si="37"/>
        <v/>
      </c>
      <c r="AF144" s="426">
        <f t="shared" si="41"/>
        <v>0</v>
      </c>
    </row>
    <row r="145" spans="1:32" ht="15" customHeight="1" thickBot="1">
      <c r="A145" s="696"/>
      <c r="B145" s="699"/>
      <c r="C145" s="570"/>
      <c r="D145" s="370"/>
      <c r="E145" s="369"/>
      <c r="F145" s="461" t="str">
        <f t="shared" si="36"/>
        <v/>
      </c>
      <c r="G145" s="385"/>
      <c r="H145" s="200" t="str">
        <f>IF(AND(E145="",G145=""),"",SUM(F145:G145))</f>
        <v/>
      </c>
      <c r="I145" s="201"/>
      <c r="J145" s="223"/>
      <c r="K145" s="223"/>
      <c r="L145" s="202" t="str">
        <f>IF(J145="Duplex",VLOOKUP(M145,'Características dos Cabos M Lot'!$C$12:$I$14,7),(IF(J145="Triplex",VLOOKUP(M145,'Características dos Cabos M Lot'!$C$15:$J$20,8),(IF(J145="Quadruplex",VLOOKUP(M145,'Características dos Cabos M Lot'!$C$21:$K$27,9),(IF(J145="13",VLOOKUP(M145,'Características dos Cabos M Lot'!$C$15:$L$20,10),"")))))))</f>
        <v/>
      </c>
      <c r="M145" s="353" t="str">
        <f t="shared" si="38"/>
        <v/>
      </c>
      <c r="N145" s="378"/>
      <c r="O145" s="203" t="str">
        <f t="shared" si="50"/>
        <v/>
      </c>
      <c r="P145" s="192" t="str">
        <f>IF(O145="","",SUM($O$136:O145)+$Z$136)</f>
        <v/>
      </c>
      <c r="Q145" s="203" t="str">
        <f t="shared" si="39"/>
        <v/>
      </c>
      <c r="R145" s="204" t="str">
        <f>IF(J145="Duplex",VLOOKUP(M145,'Características dos Cabos MX CH'!$C$12:$I$14,5),(IF(J145="Triplex",VLOOKUP(M145,'Características dos Cabos MX CH'!$C$15:$J$20,5),(IF(J145="Quadruplex",VLOOKUP(M145,'Características dos Cabos MX CH'!$C$21:$K$27,5),(IF(J145="13",VLOOKUP(M145,'Características dos Cabos MX CH'!$C$15:$L$20,5),"")))))))</f>
        <v/>
      </c>
      <c r="S145" s="204" t="str">
        <f>IF(J145="Duplex",VLOOKUP(M145,'Características dos Cabos MX CH'!$C$12:$I$14,6),(IF(J145="Triplex",VLOOKUP(M145,'Características dos Cabos MX CH'!$C$15:$J$20,6),(IF(J145="Quadruplex",VLOOKUP(M145,'Características dos Cabos MX CH'!$C$21:$K$27,6),(IF(J145="13",VLOOKUP(M145,'Características dos Cabos MX CH'!$C$15:$L$20,6),"")))))))</f>
        <v/>
      </c>
      <c r="T145" s="205" t="str">
        <f t="shared" si="44"/>
        <v/>
      </c>
      <c r="U145" s="448" t="str">
        <f>IF(J145="Duplex",VLOOKUP(M145,'Características dos Cabos MX CH'!$C$12:$I$14,2),(IF(J145="Triplex",VLOOKUP(M145,'Características dos Cabos MX CH'!$C$15:$J$20,2),(IF(J145="Quadruplex",VLOOKUP(M145,'Características dos Cabos MX CH'!$C$21:$K$27,2),(IF(J145="13",VLOOKUP(M145,'Características dos Cabos MX CH'!$C$15:$L$20,2),"")))))))</f>
        <v/>
      </c>
      <c r="V145" s="204" t="str">
        <f>IF(J145="Duplex",VLOOKUP(M145,'Características dos Cabos MX CH'!$C$12:$I$14,3),(IF(J145="Triplex",VLOOKUP(M145,'Características dos Cabos MX CH'!$C$15:$J$20,3),(IF(J145="Quadruplex",VLOOKUP(M145,'Características dos Cabos MX CH'!$C$21:$K$27,3),(IF(J145="13",VLOOKUP(M145,'Características dos Cabos MX CH'!$C$15:$L$20,3),"")))))))</f>
        <v/>
      </c>
      <c r="W145" s="206" t="str">
        <f t="shared" si="45"/>
        <v/>
      </c>
      <c r="X145" s="206" t="str">
        <f t="shared" si="46"/>
        <v/>
      </c>
      <c r="Y145" s="207" t="str">
        <f t="shared" si="47"/>
        <v/>
      </c>
      <c r="AA145" s="396">
        <f t="shared" si="51"/>
        <v>0</v>
      </c>
      <c r="AB145" s="396">
        <f t="shared" si="49"/>
        <v>0</v>
      </c>
      <c r="AC145" s="395"/>
      <c r="AE145" s="357" t="str">
        <f t="shared" si="37"/>
        <v/>
      </c>
      <c r="AF145" s="426">
        <f t="shared" si="41"/>
        <v>0</v>
      </c>
    </row>
    <row r="146" spans="1:32" ht="15" customHeight="1" thickTop="1">
      <c r="A146" s="696"/>
      <c r="B146" s="700" t="str">
        <f>CONCATENATE("Ramal 11 - Derivando no ponto ",C146)</f>
        <v xml:space="preserve">Ramal 11 - Derivando no ponto </v>
      </c>
      <c r="C146" s="571"/>
      <c r="D146" s="371"/>
      <c r="E146" s="374"/>
      <c r="F146" s="459" t="str">
        <f t="shared" si="36"/>
        <v/>
      </c>
      <c r="G146" s="386"/>
      <c r="H146" s="209" t="str">
        <f>IF(AND(E146="",G146=""),"",SUM(F146:G155))</f>
        <v/>
      </c>
      <c r="I146" s="210"/>
      <c r="J146" s="224"/>
      <c r="K146" s="224"/>
      <c r="L146" s="211" t="str">
        <f>IF(J146="Duplex",VLOOKUP(M146,'Características dos Cabos M Lot'!$C$12:$I$14,7),(IF(J146="Triplex",VLOOKUP(M146,'Características dos Cabos M Lot'!$C$15:$J$20,8),(IF(J146="Quadruplex",VLOOKUP(M146,'Características dos Cabos M Lot'!$C$21:$K$27,9),(IF(J146="13",VLOOKUP(M146,'Características dos Cabos M Lot'!$C$15:$L$20,10),"")))))))</f>
        <v/>
      </c>
      <c r="M146" s="354" t="str">
        <f t="shared" si="38"/>
        <v/>
      </c>
      <c r="N146" s="379"/>
      <c r="O146" s="212" t="str">
        <f t="shared" si="50"/>
        <v/>
      </c>
      <c r="P146" s="217" t="str">
        <f>IF(O146="","",O146+VLOOKUP(C146,$D$20:$Q$145,13,FALSE))</f>
        <v/>
      </c>
      <c r="Q146" s="212" t="str">
        <f t="shared" si="39"/>
        <v/>
      </c>
      <c r="R146" s="213" t="str">
        <f>IF(J146="Duplex",VLOOKUP(M146,'Características dos Cabos MX CH'!$C$12:$I$14,5),(IF(J146="Triplex",VLOOKUP(M146,'Características dos Cabos MX CH'!$C$15:$J$20,5),(IF(J146="Quadruplex",VLOOKUP(M146,'Características dos Cabos MX CH'!$C$21:$K$27,5),(IF(J146="13",VLOOKUP(M146,'Características dos Cabos MX CH'!$C$15:$L$20,5),"")))))))</f>
        <v/>
      </c>
      <c r="S146" s="213" t="str">
        <f>IF(J146="Duplex",VLOOKUP(M146,'Características dos Cabos MX CH'!$C$12:$I$14,6),(IF(J146="Triplex",VLOOKUP(M146,'Características dos Cabos MX CH'!$C$15:$J$20,6),(IF(J146="Quadruplex",VLOOKUP(M146,'Características dos Cabos MX CH'!$C$21:$K$27,6),(IF(J146="13",VLOOKUP(M146,'Características dos Cabos MX CH'!$C$15:$L$20,6),"")))))))</f>
        <v/>
      </c>
      <c r="T146" s="214" t="str">
        <f t="shared" si="44"/>
        <v/>
      </c>
      <c r="U146" s="450" t="str">
        <f>IF(J146="Duplex",VLOOKUP(M146,'Características dos Cabos MX CH'!$C$12:$I$14,2),(IF(J146="Triplex",VLOOKUP(M146,'Características dos Cabos MX CH'!$C$15:$J$20,2),(IF(J146="Quadruplex",VLOOKUP(M146,'Características dos Cabos MX CH'!$C$21:$K$27,2),(IF(J146="13",VLOOKUP(M146,'Características dos Cabos MX CH'!$C$15:$L$20,2),"")))))))</f>
        <v/>
      </c>
      <c r="V146" s="213" t="str">
        <f>IF(J146="Duplex",VLOOKUP(M146,'Características dos Cabos MX CH'!$C$12:$I$14,3),(IF(J146="Triplex",VLOOKUP(M146,'Características dos Cabos MX CH'!$C$15:$J$20,3),(IF(J146="Quadruplex",VLOOKUP(M146,'Características dos Cabos MX CH'!$C$21:$K$27,3),(IF(J146="13",VLOOKUP(M146,'Características dos Cabos MX CH'!$C$15:$L$20,3),"")))))))</f>
        <v/>
      </c>
      <c r="W146" s="215" t="str">
        <f t="shared" si="45"/>
        <v/>
      </c>
      <c r="X146" s="215" t="str">
        <f t="shared" si="46"/>
        <v/>
      </c>
      <c r="Y146" s="216" t="str">
        <f t="shared" si="47"/>
        <v/>
      </c>
      <c r="Z146" s="393" t="str">
        <f>IF(O146="","",VLOOKUP(C146,$D$20:$P$145,13,FALSE))</f>
        <v/>
      </c>
      <c r="AA146" s="396">
        <f t="shared" si="51"/>
        <v>0</v>
      </c>
      <c r="AB146" s="396">
        <f t="shared" si="52" ref="AB146:AB155">K146</f>
        <v>0</v>
      </c>
      <c r="AC146" s="395"/>
      <c r="AE146" s="357" t="str">
        <f t="shared" si="37"/>
        <v/>
      </c>
      <c r="AF146" s="426">
        <f t="shared" si="41"/>
        <v>0</v>
      </c>
    </row>
    <row r="147" spans="1:32" ht="15" customHeight="1">
      <c r="A147" s="696"/>
      <c r="B147" s="698"/>
      <c r="C147" s="568"/>
      <c r="D147" s="368"/>
      <c r="E147" s="372"/>
      <c r="F147" s="357" t="str">
        <f t="shared" si="36"/>
        <v/>
      </c>
      <c r="G147" s="384"/>
      <c r="H147" s="190" t="str">
        <f>IF(AND(E147="",G147=""),"",SUM(F147:G155))</f>
        <v/>
      </c>
      <c r="I147" s="191"/>
      <c r="J147" s="222"/>
      <c r="K147" s="222"/>
      <c r="L147" s="197" t="str">
        <f>IF(J147="Duplex",VLOOKUP(M147,'Características dos Cabos M Lot'!$C$12:$I$14,7),(IF(J147="Triplex",VLOOKUP(M147,'Características dos Cabos M Lot'!$C$15:$J$20,8),(IF(J147="Quadruplex",VLOOKUP(M147,'Características dos Cabos M Lot'!$C$21:$K$27,9),(IF(J147="13",VLOOKUP(M147,'Características dos Cabos M Lot'!$C$15:$L$20,10),"")))))))</f>
        <v/>
      </c>
      <c r="M147" s="350" t="str">
        <f t="shared" si="38"/>
        <v/>
      </c>
      <c r="N147" s="377"/>
      <c r="O147" s="192" t="str">
        <f t="shared" si="50"/>
        <v/>
      </c>
      <c r="P147" s="192" t="str">
        <f>IF(O147="","",SUM($O$146:O147)+$Z$146)</f>
        <v/>
      </c>
      <c r="Q147" s="192" t="str">
        <f t="shared" si="39"/>
        <v/>
      </c>
      <c r="R147" s="193" t="str">
        <f>IF(J147="Duplex",VLOOKUP(M147,'Características dos Cabos MX CH'!$C$12:$I$14,5),(IF(J147="Triplex",VLOOKUP(M147,'Características dos Cabos MX CH'!$C$15:$J$20,5),(IF(J147="Quadruplex",VLOOKUP(M147,'Características dos Cabos MX CH'!$C$21:$K$27,5),(IF(J147="13",VLOOKUP(M147,'Características dos Cabos MX CH'!$C$15:$L$20,5),"")))))))</f>
        <v/>
      </c>
      <c r="S147" s="193" t="str">
        <f>IF(J147="Duplex",VLOOKUP(M147,'Características dos Cabos MX CH'!$C$12:$I$14,6),(IF(J147="Triplex",VLOOKUP(M147,'Características dos Cabos MX CH'!$C$15:$J$20,6),(IF(J147="Quadruplex",VLOOKUP(M147,'Características dos Cabos MX CH'!$C$21:$K$27,6),(IF(J147="13",VLOOKUP(M147,'Características dos Cabos MX CH'!$C$15:$L$20,6),"")))))))</f>
        <v/>
      </c>
      <c r="T147" s="194" t="str">
        <f t="shared" si="44"/>
        <v/>
      </c>
      <c r="U147" s="447" t="str">
        <f>IF(J147="Duplex",VLOOKUP(M147,'Características dos Cabos MX CH'!$C$12:$I$14,2),(IF(J147="Triplex",VLOOKUP(M147,'Características dos Cabos MX CH'!$C$15:$J$20,2),(IF(J147="Quadruplex",VLOOKUP(M147,'Características dos Cabos MX CH'!$C$21:$K$27,2),(IF(J147="13",VLOOKUP(M147,'Características dos Cabos MX CH'!$C$15:$L$20,2),"")))))))</f>
        <v/>
      </c>
      <c r="V147" s="193" t="str">
        <f>IF(J147="Duplex",VLOOKUP(M147,'Características dos Cabos MX CH'!$C$12:$I$14,3),(IF(J147="Triplex",VLOOKUP(M147,'Características dos Cabos MX CH'!$C$15:$J$20,3),(IF(J147="Quadruplex",VLOOKUP(M147,'Características dos Cabos MX CH'!$C$21:$K$27,3),(IF(J147="13",VLOOKUP(M147,'Características dos Cabos MX CH'!$C$15:$L$20,3),"")))))))</f>
        <v/>
      </c>
      <c r="W147" s="195" t="str">
        <f t="shared" si="45"/>
        <v/>
      </c>
      <c r="X147" s="195" t="str">
        <f t="shared" si="46"/>
        <v/>
      </c>
      <c r="Y147" s="196" t="str">
        <f t="shared" si="47"/>
        <v/>
      </c>
      <c r="AA147" s="396">
        <f t="shared" si="51"/>
        <v>0</v>
      </c>
      <c r="AB147" s="396">
        <f t="shared" si="52"/>
        <v>0</v>
      </c>
      <c r="AC147" s="395"/>
      <c r="AE147" s="357" t="str">
        <f t="shared" si="37"/>
        <v/>
      </c>
      <c r="AF147" s="426">
        <f t="shared" si="41"/>
        <v>0</v>
      </c>
    </row>
    <row r="148" spans="1:32" ht="15" customHeight="1">
      <c r="A148" s="696"/>
      <c r="B148" s="698"/>
      <c r="C148" s="568"/>
      <c r="D148" s="368"/>
      <c r="E148" s="372"/>
      <c r="F148" s="357" t="str">
        <f t="shared" si="53" ref="F148:F195">IF(OR(E148="",$G$11=""),"",IF($G$11&gt;0,E148*$G$11*($J$11/100+1)^($J$15-1),E148*$E$11*($J$11/100+1)^($J$15-1)))</f>
        <v/>
      </c>
      <c r="G148" s="384"/>
      <c r="H148" s="190" t="str">
        <f>IF(AND(E148="",G148=""),"",SUM(F148:G155))</f>
        <v/>
      </c>
      <c r="I148" s="191"/>
      <c r="J148" s="222"/>
      <c r="K148" s="222"/>
      <c r="L148" s="197" t="str">
        <f>IF(J148="Duplex",VLOOKUP(M148,'Características dos Cabos M Lot'!$C$12:$I$14,7),(IF(J148="Triplex",VLOOKUP(M148,'Características dos Cabos M Lot'!$C$15:$J$20,8),(IF(J148="Quadruplex",VLOOKUP(M148,'Características dos Cabos M Lot'!$C$21:$K$27,9),(IF(J148="13",VLOOKUP(M148,'Características dos Cabos M Lot'!$C$15:$L$20,10),"")))))))</f>
        <v/>
      </c>
      <c r="M148" s="350" t="str">
        <f t="shared" si="38"/>
        <v/>
      </c>
      <c r="N148" s="377"/>
      <c r="O148" s="192" t="str">
        <f t="shared" si="50"/>
        <v/>
      </c>
      <c r="P148" s="192" t="str">
        <f>IF(O148="","",SUM($O$146:O148)+$Z$146)</f>
        <v/>
      </c>
      <c r="Q148" s="192" t="str">
        <f t="shared" si="39"/>
        <v/>
      </c>
      <c r="R148" s="193" t="str">
        <f>IF(J148="Duplex",VLOOKUP(M148,'Características dos Cabos MX CH'!$C$12:$I$14,5),(IF(J148="Triplex",VLOOKUP(M148,'Características dos Cabos MX CH'!$C$15:$J$20,5),(IF(J148="Quadruplex",VLOOKUP(M148,'Características dos Cabos MX CH'!$C$21:$K$27,5),(IF(J148="13",VLOOKUP(M148,'Características dos Cabos MX CH'!$C$15:$L$20,5),"")))))))</f>
        <v/>
      </c>
      <c r="S148" s="193" t="str">
        <f>IF(J148="Duplex",VLOOKUP(M148,'Características dos Cabos MX CH'!$C$12:$I$14,6),(IF(J148="Triplex",VLOOKUP(M148,'Características dos Cabos MX CH'!$C$15:$J$20,6),(IF(J148="Quadruplex",VLOOKUP(M148,'Características dos Cabos MX CH'!$C$21:$K$27,6),(IF(J148="13",VLOOKUP(M148,'Características dos Cabos MX CH'!$C$15:$L$20,6),"")))))))</f>
        <v/>
      </c>
      <c r="T148" s="194" t="str">
        <f t="shared" si="44"/>
        <v/>
      </c>
      <c r="U148" s="447" t="str">
        <f>IF(J148="Duplex",VLOOKUP(M148,'Características dos Cabos MX CH'!$C$12:$I$14,2),(IF(J148="Triplex",VLOOKUP(M148,'Características dos Cabos MX CH'!$C$15:$J$20,2),(IF(J148="Quadruplex",VLOOKUP(M148,'Características dos Cabos MX CH'!$C$21:$K$27,2),(IF(J148="13",VLOOKUP(M148,'Características dos Cabos MX CH'!$C$15:$L$20,2),"")))))))</f>
        <v/>
      </c>
      <c r="V148" s="193" t="str">
        <f>IF(J148="Duplex",VLOOKUP(M148,'Características dos Cabos MX CH'!$C$12:$I$14,3),(IF(J148="Triplex",VLOOKUP(M148,'Características dos Cabos MX CH'!$C$15:$J$20,3),(IF(J148="Quadruplex",VLOOKUP(M148,'Características dos Cabos MX CH'!$C$21:$K$27,3),(IF(J148="13",VLOOKUP(M148,'Características dos Cabos MX CH'!$C$15:$L$20,3),"")))))))</f>
        <v/>
      </c>
      <c r="W148" s="195" t="str">
        <f t="shared" si="45"/>
        <v/>
      </c>
      <c r="X148" s="195" t="str">
        <f t="shared" si="46"/>
        <v/>
      </c>
      <c r="Y148" s="196" t="str">
        <f t="shared" si="47"/>
        <v/>
      </c>
      <c r="AA148" s="396">
        <f t="shared" si="51"/>
        <v>0</v>
      </c>
      <c r="AB148" s="396">
        <f t="shared" si="52"/>
        <v>0</v>
      </c>
      <c r="AC148" s="395"/>
      <c r="AE148" s="357" t="str">
        <f t="shared" si="37"/>
        <v/>
      </c>
      <c r="AF148" s="426">
        <f t="shared" si="41"/>
        <v>0</v>
      </c>
    </row>
    <row r="149" spans="1:32" ht="15" customHeight="1">
      <c r="A149" s="696"/>
      <c r="B149" s="698"/>
      <c r="C149" s="568"/>
      <c r="D149" s="368"/>
      <c r="E149" s="372"/>
      <c r="F149" s="357" t="str">
        <f t="shared" si="53"/>
        <v/>
      </c>
      <c r="G149" s="384"/>
      <c r="H149" s="190" t="str">
        <f>IF(AND(E149="",G149=""),"",SUM(F149:G155))</f>
        <v/>
      </c>
      <c r="I149" s="191"/>
      <c r="J149" s="222"/>
      <c r="K149" s="222"/>
      <c r="L149" s="197" t="str">
        <f>IF(J149="Duplex",VLOOKUP(M149,'Características dos Cabos M Lot'!$C$12:$I$14,7),(IF(J149="Triplex",VLOOKUP(M149,'Características dos Cabos M Lot'!$C$15:$J$20,8),(IF(J149="Quadruplex",VLOOKUP(M149,'Características dos Cabos M Lot'!$C$21:$K$27,9),(IF(J149="13",VLOOKUP(M149,'Características dos Cabos M Lot'!$C$15:$L$20,10),"")))))))</f>
        <v/>
      </c>
      <c r="M149" s="350" t="str">
        <f t="shared" si="38"/>
        <v/>
      </c>
      <c r="N149" s="377"/>
      <c r="O149" s="192" t="str">
        <f t="shared" si="50"/>
        <v/>
      </c>
      <c r="P149" s="192" t="str">
        <f>IF(O149="","",SUM($O$146:O149)+$Z$146)</f>
        <v/>
      </c>
      <c r="Q149" s="192" t="str">
        <f t="shared" si="39"/>
        <v/>
      </c>
      <c r="R149" s="193" t="str">
        <f>IF(J149="Duplex",VLOOKUP(M149,'Características dos Cabos MX CH'!$C$12:$I$14,5),(IF(J149="Triplex",VLOOKUP(M149,'Características dos Cabos MX CH'!$C$15:$J$20,5),(IF(J149="Quadruplex",VLOOKUP(M149,'Características dos Cabos MX CH'!$C$21:$K$27,5),(IF(J149="13",VLOOKUP(M149,'Características dos Cabos MX CH'!$C$15:$L$20,5),"")))))))</f>
        <v/>
      </c>
      <c r="S149" s="193" t="str">
        <f>IF(J149="Duplex",VLOOKUP(M149,'Características dos Cabos MX CH'!$C$12:$I$14,6),(IF(J149="Triplex",VLOOKUP(M149,'Características dos Cabos MX CH'!$C$15:$J$20,6),(IF(J149="Quadruplex",VLOOKUP(M149,'Características dos Cabos MX CH'!$C$21:$K$27,6),(IF(J149="13",VLOOKUP(M149,'Características dos Cabos MX CH'!$C$15:$L$20,6),"")))))))</f>
        <v/>
      </c>
      <c r="T149" s="194" t="str">
        <f t="shared" si="44"/>
        <v/>
      </c>
      <c r="U149" s="447" t="str">
        <f>IF(J149="Duplex",VLOOKUP(M149,'Características dos Cabos MX CH'!$C$12:$I$14,2),(IF(J149="Triplex",VLOOKUP(M149,'Características dos Cabos MX CH'!$C$15:$J$20,2),(IF(J149="Quadruplex",VLOOKUP(M149,'Características dos Cabos MX CH'!$C$21:$K$27,2),(IF(J149="13",VLOOKUP(M149,'Características dos Cabos MX CH'!$C$15:$L$20,2),"")))))))</f>
        <v/>
      </c>
      <c r="V149" s="193" t="str">
        <f>IF(J149="Duplex",VLOOKUP(M149,'Características dos Cabos MX CH'!$C$12:$I$14,3),(IF(J149="Triplex",VLOOKUP(M149,'Características dos Cabos MX CH'!$C$15:$J$20,3),(IF(J149="Quadruplex",VLOOKUP(M149,'Características dos Cabos MX CH'!$C$21:$K$27,3),(IF(J149="13",VLOOKUP(M149,'Características dos Cabos MX CH'!$C$15:$L$20,3),"")))))))</f>
        <v/>
      </c>
      <c r="W149" s="195" t="str">
        <f t="shared" si="45"/>
        <v/>
      </c>
      <c r="X149" s="195" t="str">
        <f t="shared" si="46"/>
        <v/>
      </c>
      <c r="Y149" s="196" t="str">
        <f t="shared" si="47"/>
        <v/>
      </c>
      <c r="AA149" s="396">
        <f t="shared" si="51"/>
        <v>0</v>
      </c>
      <c r="AB149" s="396">
        <f t="shared" si="52"/>
        <v>0</v>
      </c>
      <c r="AC149" s="395"/>
      <c r="AE149" s="357" t="str">
        <f t="shared" si="54" ref="AE149:AE195">IF(OR(E149="",$G$11=""),"",IF($G$11&gt;0,E149*$G$11*($J$11/100+1)^($J$15-1),E149*$E$11*($J$11/100+1)^($J$15-1)))</f>
        <v/>
      </c>
      <c r="AF149" s="426">
        <f t="shared" si="41"/>
        <v>0</v>
      </c>
    </row>
    <row r="150" spans="1:32" ht="15" customHeight="1">
      <c r="A150" s="696"/>
      <c r="B150" s="698"/>
      <c r="C150" s="568"/>
      <c r="D150" s="368"/>
      <c r="E150" s="372"/>
      <c r="F150" s="357" t="str">
        <f t="shared" si="53"/>
        <v/>
      </c>
      <c r="G150" s="384"/>
      <c r="H150" s="190" t="str">
        <f>IF(AND(E150="",G150=""),"",SUM(F150:G155))</f>
        <v/>
      </c>
      <c r="I150" s="191"/>
      <c r="J150" s="222"/>
      <c r="K150" s="222"/>
      <c r="L150" s="197" t="str">
        <f>IF(J150="Duplex",VLOOKUP(M150,'Características dos Cabos M Lot'!$C$12:$I$14,7),(IF(J150="Triplex",VLOOKUP(M150,'Características dos Cabos M Lot'!$C$15:$J$20,8),(IF(J150="Quadruplex",VLOOKUP(M150,'Características dos Cabos M Lot'!$C$21:$K$27,9),(IF(J150="13",VLOOKUP(M150,'Características dos Cabos M Lot'!$C$15:$L$20,10),"")))))))</f>
        <v/>
      </c>
      <c r="M150" s="350" t="str">
        <f t="shared" si="38"/>
        <v/>
      </c>
      <c r="N150" s="377"/>
      <c r="O150" s="192" t="str">
        <f t="shared" si="50"/>
        <v/>
      </c>
      <c r="P150" s="192" t="str">
        <f>IF(O150="","",SUM($O$146:O150)+$Z$146)</f>
        <v/>
      </c>
      <c r="Q150" s="192" t="str">
        <f t="shared" si="39"/>
        <v/>
      </c>
      <c r="R150" s="193" t="str">
        <f>IF(J150="Duplex",VLOOKUP(M150,'Características dos Cabos MX CH'!$C$12:$I$14,5),(IF(J150="Triplex",VLOOKUP(M150,'Características dos Cabos MX CH'!$C$15:$J$20,5),(IF(J150="Quadruplex",VLOOKUP(M150,'Características dos Cabos MX CH'!$C$21:$K$27,5),(IF(J150="13",VLOOKUP(M150,'Características dos Cabos MX CH'!$C$15:$L$20,5),"")))))))</f>
        <v/>
      </c>
      <c r="S150" s="193" t="str">
        <f>IF(J150="Duplex",VLOOKUP(M150,'Características dos Cabos MX CH'!$C$12:$I$14,6),(IF(J150="Triplex",VLOOKUP(M150,'Características dos Cabos MX CH'!$C$15:$J$20,6),(IF(J150="Quadruplex",VLOOKUP(M150,'Características dos Cabos MX CH'!$C$21:$K$27,6),(IF(J150="13",VLOOKUP(M150,'Características dos Cabos MX CH'!$C$15:$L$20,6),"")))))))</f>
        <v/>
      </c>
      <c r="T150" s="194" t="str">
        <f t="shared" si="44"/>
        <v/>
      </c>
      <c r="U150" s="447" t="str">
        <f>IF(J150="Duplex",VLOOKUP(M150,'Características dos Cabos MX CH'!$C$12:$I$14,2),(IF(J150="Triplex",VLOOKUP(M150,'Características dos Cabos MX CH'!$C$15:$J$20,2),(IF(J150="Quadruplex",VLOOKUP(M150,'Características dos Cabos MX CH'!$C$21:$K$27,2),(IF(J150="13",VLOOKUP(M150,'Características dos Cabos MX CH'!$C$15:$L$20,2),"")))))))</f>
        <v/>
      </c>
      <c r="V150" s="193" t="str">
        <f>IF(J150="Duplex",VLOOKUP(M150,'Características dos Cabos MX CH'!$C$12:$I$14,3),(IF(J150="Triplex",VLOOKUP(M150,'Características dos Cabos MX CH'!$C$15:$J$20,3),(IF(J150="Quadruplex",VLOOKUP(M150,'Características dos Cabos MX CH'!$C$21:$K$27,3),(IF(J150="13",VLOOKUP(M150,'Características dos Cabos MX CH'!$C$15:$L$20,3),"")))))))</f>
        <v/>
      </c>
      <c r="W150" s="195" t="str">
        <f t="shared" si="45"/>
        <v/>
      </c>
      <c r="X150" s="195" t="str">
        <f t="shared" si="46"/>
        <v/>
      </c>
      <c r="Y150" s="196" t="str">
        <f t="shared" si="47"/>
        <v/>
      </c>
      <c r="AA150" s="396">
        <f t="shared" si="51"/>
        <v>0</v>
      </c>
      <c r="AB150" s="396">
        <f t="shared" si="52"/>
        <v>0</v>
      </c>
      <c r="AC150" s="395"/>
      <c r="AE150" s="357" t="str">
        <f t="shared" si="54"/>
        <v/>
      </c>
      <c r="AF150" s="426">
        <f t="shared" si="41"/>
        <v>0</v>
      </c>
    </row>
    <row r="151" spans="1:32" ht="15" customHeight="1">
      <c r="A151" s="696"/>
      <c r="B151" s="698"/>
      <c r="C151" s="568"/>
      <c r="D151" s="368"/>
      <c r="E151" s="372"/>
      <c r="F151" s="357" t="str">
        <f t="shared" si="53"/>
        <v/>
      </c>
      <c r="G151" s="384"/>
      <c r="H151" s="190" t="str">
        <f>IF(AND(E151="",G151=""),"",SUM(F151:G155))</f>
        <v/>
      </c>
      <c r="I151" s="191"/>
      <c r="J151" s="222"/>
      <c r="K151" s="222"/>
      <c r="L151" s="197" t="str">
        <f>IF(J151="Duplex",VLOOKUP(M151,'Características dos Cabos M Lot'!$C$12:$I$14,7),(IF(J151="Triplex",VLOOKUP(M151,'Características dos Cabos M Lot'!$C$15:$J$20,8),(IF(J151="Quadruplex",VLOOKUP(M151,'Características dos Cabos M Lot'!$C$21:$K$27,9),(IF(J151="13",VLOOKUP(M151,'Características dos Cabos M Lot'!$C$15:$L$20,10),"")))))))</f>
        <v/>
      </c>
      <c r="M151" s="350" t="str">
        <f t="shared" si="55" ref="M151:M195">IF(K151=10,"a",IF(K151=16,"b",IF(K151=25,"c",IF(K151=35,"d",IF(K151=50,"e",(IF(K151=70,"f",(IF(K151=120,"g","")))))))))</f>
        <v/>
      </c>
      <c r="N151" s="377"/>
      <c r="O151" s="192" t="str">
        <f t="shared" si="50"/>
        <v/>
      </c>
      <c r="P151" s="192" t="str">
        <f>IF(O151="","",SUM($O$146:O151)+$Z$146)</f>
        <v/>
      </c>
      <c r="Q151" s="192" t="str">
        <f t="shared" si="56" ref="Q151:Q195">IF(H151="","",IF(J151="Quadruplex",H151*1000/($D$13*SQRT(3)),IF(J151="Triplex",H151*1000*SQRT(3)/($D$13*2),IF(J151="Duplex",H151*1000*SQRT(3)/$D$13,IF(J151="13",H151*1000/$D$15,IF(J151="12",H151*1000*2/$D$15,"erro"))))))</f>
        <v/>
      </c>
      <c r="R151" s="193" t="str">
        <f>IF(J151="Duplex",VLOOKUP(M151,'Características dos Cabos MX CH'!$C$12:$I$14,5),(IF(J151="Triplex",VLOOKUP(M151,'Características dos Cabos MX CH'!$C$15:$J$20,5),(IF(J151="Quadruplex",VLOOKUP(M151,'Características dos Cabos MX CH'!$C$21:$K$27,5),(IF(J151="13",VLOOKUP(M151,'Características dos Cabos MX CH'!$C$15:$L$20,5),"")))))))</f>
        <v/>
      </c>
      <c r="S151" s="193" t="str">
        <f>IF(J151="Duplex",VLOOKUP(M151,'Características dos Cabos MX CH'!$C$12:$I$14,6),(IF(J151="Triplex",VLOOKUP(M151,'Características dos Cabos MX CH'!$C$15:$J$20,6),(IF(J151="Quadruplex",VLOOKUP(M151,'Características dos Cabos MX CH'!$C$21:$K$27,6),(IF(J151="13",VLOOKUP(M151,'Características dos Cabos MX CH'!$C$15:$L$20,6),"")))))))</f>
        <v/>
      </c>
      <c r="T151" s="194" t="str">
        <f t="shared" si="44"/>
        <v/>
      </c>
      <c r="U151" s="447" t="str">
        <f>IF(J151="Duplex",VLOOKUP(M151,'Características dos Cabos MX CH'!$C$12:$I$14,2),(IF(J151="Triplex",VLOOKUP(M151,'Características dos Cabos MX CH'!$C$15:$J$20,2),(IF(J151="Quadruplex",VLOOKUP(M151,'Características dos Cabos MX CH'!$C$21:$K$27,2),(IF(J151="13",VLOOKUP(M151,'Características dos Cabos MX CH'!$C$15:$L$20,2),"")))))))</f>
        <v/>
      </c>
      <c r="V151" s="193" t="str">
        <f>IF(J151="Duplex",VLOOKUP(M151,'Características dos Cabos MX CH'!$C$12:$I$14,3),(IF(J151="Triplex",VLOOKUP(M151,'Características dos Cabos MX CH'!$C$15:$J$20,3),(IF(J151="Quadruplex",VLOOKUP(M151,'Características dos Cabos MX CH'!$C$21:$K$27,3),(IF(J151="13",VLOOKUP(M151,'Características dos Cabos MX CH'!$C$15:$L$20,3),"")))))))</f>
        <v/>
      </c>
      <c r="W151" s="195" t="str">
        <f t="shared" si="45"/>
        <v/>
      </c>
      <c r="X151" s="195" t="str">
        <f t="shared" si="46"/>
        <v/>
      </c>
      <c r="Y151" s="196" t="str">
        <f t="shared" si="47"/>
        <v/>
      </c>
      <c r="AA151" s="396">
        <f t="shared" si="51"/>
        <v>0</v>
      </c>
      <c r="AB151" s="396">
        <f t="shared" si="52"/>
        <v>0</v>
      </c>
      <c r="AC151" s="395"/>
      <c r="AE151" s="357" t="str">
        <f t="shared" si="54"/>
        <v/>
      </c>
      <c r="AF151" s="426">
        <f t="shared" si="41"/>
        <v>0</v>
      </c>
    </row>
    <row r="152" spans="1:32" ht="15" customHeight="1">
      <c r="A152" s="696"/>
      <c r="B152" s="698"/>
      <c r="C152" s="568"/>
      <c r="D152" s="368"/>
      <c r="E152" s="372"/>
      <c r="F152" s="357" t="str">
        <f t="shared" si="53"/>
        <v/>
      </c>
      <c r="G152" s="384"/>
      <c r="H152" s="190" t="str">
        <f>IF(AND(E152="",G152=""),"",SUM(F152:G155))</f>
        <v/>
      </c>
      <c r="I152" s="191"/>
      <c r="J152" s="222"/>
      <c r="K152" s="222"/>
      <c r="L152" s="197" t="str">
        <f>IF(J152="Duplex",VLOOKUP(M152,'Características dos Cabos M Lot'!$C$12:$I$14,7),(IF(J152="Triplex",VLOOKUP(M152,'Características dos Cabos M Lot'!$C$15:$J$20,8),(IF(J152="Quadruplex",VLOOKUP(M152,'Características dos Cabos M Lot'!$C$21:$K$27,9),(IF(J152="13",VLOOKUP(M152,'Características dos Cabos M Lot'!$C$15:$L$20,10),"")))))))</f>
        <v/>
      </c>
      <c r="M152" s="350" t="str">
        <f t="shared" si="55"/>
        <v/>
      </c>
      <c r="N152" s="377"/>
      <c r="O152" s="192" t="str">
        <f t="shared" si="50"/>
        <v/>
      </c>
      <c r="P152" s="192" t="str">
        <f>IF(O152="","",SUM($O$146:O152)+$Z$146)</f>
        <v/>
      </c>
      <c r="Q152" s="192" t="str">
        <f t="shared" si="56"/>
        <v/>
      </c>
      <c r="R152" s="193" t="str">
        <f>IF(J152="Duplex",VLOOKUP(M152,'Características dos Cabos MX CH'!$C$12:$I$14,5),(IF(J152="Triplex",VLOOKUP(M152,'Características dos Cabos MX CH'!$C$15:$J$20,5),(IF(J152="Quadruplex",VLOOKUP(M152,'Características dos Cabos MX CH'!$C$21:$K$27,5),(IF(J152="13",VLOOKUP(M152,'Características dos Cabos MX CH'!$C$15:$L$20,5),"")))))))</f>
        <v/>
      </c>
      <c r="S152" s="193" t="str">
        <f>IF(J152="Duplex",VLOOKUP(M152,'Características dos Cabos MX CH'!$C$12:$I$14,6),(IF(J152="Triplex",VLOOKUP(M152,'Características dos Cabos MX CH'!$C$15:$J$20,6),(IF(J152="Quadruplex",VLOOKUP(M152,'Características dos Cabos MX CH'!$C$21:$K$27,6),(IF(J152="13",VLOOKUP(M152,'Características dos Cabos MX CH'!$C$15:$L$20,6),"")))))))</f>
        <v/>
      </c>
      <c r="T152" s="194" t="str">
        <f t="shared" si="44"/>
        <v/>
      </c>
      <c r="U152" s="447" t="str">
        <f>IF(J152="Duplex",VLOOKUP(M152,'Características dos Cabos MX CH'!$C$12:$I$14,2),(IF(J152="Triplex",VLOOKUP(M152,'Características dos Cabos MX CH'!$C$15:$J$20,2),(IF(J152="Quadruplex",VLOOKUP(M152,'Características dos Cabos MX CH'!$C$21:$K$27,2),(IF(J152="13",VLOOKUP(M152,'Características dos Cabos MX CH'!$C$15:$L$20,2),"")))))))</f>
        <v/>
      </c>
      <c r="V152" s="193" t="str">
        <f>IF(J152="Duplex",VLOOKUP(M152,'Características dos Cabos MX CH'!$C$12:$I$14,3),(IF(J152="Triplex",VLOOKUP(M152,'Características dos Cabos MX CH'!$C$15:$J$20,3),(IF(J152="Quadruplex",VLOOKUP(M152,'Características dos Cabos MX CH'!$C$21:$K$27,3),(IF(J152="13",VLOOKUP(M152,'Características dos Cabos MX CH'!$C$15:$L$20,3),"")))))))</f>
        <v/>
      </c>
      <c r="W152" s="195" t="str">
        <f t="shared" si="45"/>
        <v/>
      </c>
      <c r="X152" s="195" t="str">
        <f t="shared" si="46"/>
        <v/>
      </c>
      <c r="Y152" s="196" t="str">
        <f t="shared" si="47"/>
        <v/>
      </c>
      <c r="AA152" s="396">
        <f t="shared" si="51"/>
        <v>0</v>
      </c>
      <c r="AB152" s="396">
        <f t="shared" si="52"/>
        <v>0</v>
      </c>
      <c r="AC152" s="395"/>
      <c r="AE152" s="357" t="str">
        <f t="shared" si="54"/>
        <v/>
      </c>
      <c r="AF152" s="426">
        <f t="shared" si="41"/>
        <v>0</v>
      </c>
    </row>
    <row r="153" spans="1:32" ht="15" customHeight="1">
      <c r="A153" s="696"/>
      <c r="B153" s="698"/>
      <c r="C153" s="568"/>
      <c r="D153" s="368"/>
      <c r="E153" s="372"/>
      <c r="F153" s="357" t="str">
        <f t="shared" si="53"/>
        <v/>
      </c>
      <c r="G153" s="384"/>
      <c r="H153" s="190" t="str">
        <f>IF(AND(E153="",G153=""),"",SUM(F153:G155))</f>
        <v/>
      </c>
      <c r="I153" s="191"/>
      <c r="J153" s="222"/>
      <c r="K153" s="222"/>
      <c r="L153" s="197" t="str">
        <f>IF(J153="Duplex",VLOOKUP(M153,'Características dos Cabos M Lot'!$C$12:$I$14,7),(IF(J153="Triplex",VLOOKUP(M153,'Características dos Cabos M Lot'!$C$15:$J$20,8),(IF(J153="Quadruplex",VLOOKUP(M153,'Características dos Cabos M Lot'!$C$21:$K$27,9),(IF(J153="13",VLOOKUP(M153,'Características dos Cabos M Lot'!$C$15:$L$20,10),"")))))))</f>
        <v/>
      </c>
      <c r="M153" s="350" t="str">
        <f t="shared" si="55"/>
        <v/>
      </c>
      <c r="N153" s="377"/>
      <c r="O153" s="192" t="str">
        <f t="shared" si="50"/>
        <v/>
      </c>
      <c r="P153" s="192" t="str">
        <f>IF(O153="","",SUM($O$146:O153)+$Z$146)</f>
        <v/>
      </c>
      <c r="Q153" s="192" t="str">
        <f t="shared" si="56"/>
        <v/>
      </c>
      <c r="R153" s="193" t="str">
        <f>IF(J153="Duplex",VLOOKUP(M153,'Características dos Cabos MX CH'!$C$12:$I$14,5),(IF(J153="Triplex",VLOOKUP(M153,'Características dos Cabos MX CH'!$C$15:$J$20,5),(IF(J153="Quadruplex",VLOOKUP(M153,'Características dos Cabos MX CH'!$C$21:$K$27,5),(IF(J153="13",VLOOKUP(M153,'Características dos Cabos MX CH'!$C$15:$L$20,5),"")))))))</f>
        <v/>
      </c>
      <c r="S153" s="193" t="str">
        <f>IF(J153="Duplex",VLOOKUP(M153,'Características dos Cabos MX CH'!$C$12:$I$14,6),(IF(J153="Triplex",VLOOKUP(M153,'Características dos Cabos MX CH'!$C$15:$J$20,6),(IF(J153="Quadruplex",VLOOKUP(M153,'Características dos Cabos MX CH'!$C$21:$K$27,6),(IF(J153="13",VLOOKUP(M153,'Características dos Cabos MX CH'!$C$15:$L$20,6),"")))))))</f>
        <v/>
      </c>
      <c r="T153" s="194" t="str">
        <f t="shared" si="44"/>
        <v/>
      </c>
      <c r="U153" s="447" t="str">
        <f>IF(J153="Duplex",VLOOKUP(M153,'Características dos Cabos MX CH'!$C$12:$I$14,2),(IF(J153="Triplex",VLOOKUP(M153,'Características dos Cabos MX CH'!$C$15:$J$20,2),(IF(J153="Quadruplex",VLOOKUP(M153,'Características dos Cabos MX CH'!$C$21:$K$27,2),(IF(J153="13",VLOOKUP(M153,'Características dos Cabos MX CH'!$C$15:$L$20,2),"")))))))</f>
        <v/>
      </c>
      <c r="V153" s="193" t="str">
        <f>IF(J153="Duplex",VLOOKUP(M153,'Características dos Cabos MX CH'!$C$12:$I$14,3),(IF(J153="Triplex",VLOOKUP(M153,'Características dos Cabos MX CH'!$C$15:$J$20,3),(IF(J153="Quadruplex",VLOOKUP(M153,'Características dos Cabos MX CH'!$C$21:$K$27,3),(IF(J153="13",VLOOKUP(M153,'Características dos Cabos MX CH'!$C$15:$L$20,3),"")))))))</f>
        <v/>
      </c>
      <c r="W153" s="195" t="str">
        <f t="shared" si="45"/>
        <v/>
      </c>
      <c r="X153" s="195" t="str">
        <f t="shared" si="46"/>
        <v/>
      </c>
      <c r="Y153" s="196" t="str">
        <f t="shared" si="47"/>
        <v/>
      </c>
      <c r="AA153" s="396">
        <f t="shared" si="51"/>
        <v>0</v>
      </c>
      <c r="AB153" s="396">
        <f t="shared" si="52"/>
        <v>0</v>
      </c>
      <c r="AC153" s="395"/>
      <c r="AE153" s="357" t="str">
        <f t="shared" si="54"/>
        <v/>
      </c>
      <c r="AF153" s="426">
        <f t="shared" si="41"/>
        <v>0</v>
      </c>
    </row>
    <row r="154" spans="1:32" ht="15" customHeight="1">
      <c r="A154" s="696"/>
      <c r="B154" s="698"/>
      <c r="C154" s="568"/>
      <c r="D154" s="368"/>
      <c r="E154" s="372"/>
      <c r="F154" s="357" t="str">
        <f t="shared" si="53"/>
        <v/>
      </c>
      <c r="G154" s="384"/>
      <c r="H154" s="190" t="str">
        <f>IF(AND(E154="",G154=""),"",SUM(F154:G155))</f>
        <v/>
      </c>
      <c r="I154" s="191"/>
      <c r="J154" s="222"/>
      <c r="K154" s="222"/>
      <c r="L154" s="197" t="str">
        <f>IF(J154="Duplex",VLOOKUP(M154,'Características dos Cabos M Lot'!$C$12:$I$14,7),(IF(J154="Triplex",VLOOKUP(M154,'Características dos Cabos M Lot'!$C$15:$J$20,8),(IF(J154="Quadruplex",VLOOKUP(M154,'Características dos Cabos M Lot'!$C$21:$K$27,9),(IF(J154="13",VLOOKUP(M154,'Características dos Cabos M Lot'!$C$15:$L$20,10),"")))))))</f>
        <v/>
      </c>
      <c r="M154" s="350" t="str">
        <f t="shared" si="55"/>
        <v/>
      </c>
      <c r="N154" s="377"/>
      <c r="O154" s="192" t="str">
        <f t="shared" si="50"/>
        <v/>
      </c>
      <c r="P154" s="192" t="str">
        <f>IF(O154="","",SUM($O$146:O154)+$Z$146)</f>
        <v/>
      </c>
      <c r="Q154" s="192" t="str">
        <f t="shared" si="56"/>
        <v/>
      </c>
      <c r="R154" s="193" t="str">
        <f>IF(J154="Duplex",VLOOKUP(M154,'Características dos Cabos MX CH'!$C$12:$I$14,5),(IF(J154="Triplex",VLOOKUP(M154,'Características dos Cabos MX CH'!$C$15:$J$20,5),(IF(J154="Quadruplex",VLOOKUP(M154,'Características dos Cabos MX CH'!$C$21:$K$27,5),(IF(J154="13",VLOOKUP(M154,'Características dos Cabos MX CH'!$C$15:$L$20,5),"")))))))</f>
        <v/>
      </c>
      <c r="S154" s="193" t="str">
        <f>IF(J154="Duplex",VLOOKUP(M154,'Características dos Cabos MX CH'!$C$12:$I$14,6),(IF(J154="Triplex",VLOOKUP(M154,'Características dos Cabos MX CH'!$C$15:$J$20,6),(IF(J154="Quadruplex",VLOOKUP(M154,'Características dos Cabos MX CH'!$C$21:$K$27,6),(IF(J154="13",VLOOKUP(M154,'Características dos Cabos MX CH'!$C$15:$L$20,6),"")))))))</f>
        <v/>
      </c>
      <c r="T154" s="194" t="str">
        <f t="shared" si="44"/>
        <v/>
      </c>
      <c r="U154" s="447" t="str">
        <f>IF(J154="Duplex",VLOOKUP(M154,'Características dos Cabos MX CH'!$C$12:$I$14,2),(IF(J154="Triplex",VLOOKUP(M154,'Características dos Cabos MX CH'!$C$15:$J$20,2),(IF(J154="Quadruplex",VLOOKUP(M154,'Características dos Cabos MX CH'!$C$21:$K$27,2),(IF(J154="13",VLOOKUP(M154,'Características dos Cabos MX CH'!$C$15:$L$20,2),"")))))))</f>
        <v/>
      </c>
      <c r="V154" s="193" t="str">
        <f>IF(J154="Duplex",VLOOKUP(M154,'Características dos Cabos MX CH'!$C$12:$I$14,3),(IF(J154="Triplex",VLOOKUP(M154,'Características dos Cabos MX CH'!$C$15:$J$20,3),(IF(J154="Quadruplex",VLOOKUP(M154,'Características dos Cabos MX CH'!$C$21:$K$27,3),(IF(J154="13",VLOOKUP(M154,'Características dos Cabos MX CH'!$C$15:$L$20,3),"")))))))</f>
        <v/>
      </c>
      <c r="W154" s="195" t="str">
        <f t="shared" si="45"/>
        <v/>
      </c>
      <c r="X154" s="195" t="str">
        <f t="shared" si="46"/>
        <v/>
      </c>
      <c r="Y154" s="196" t="str">
        <f t="shared" si="47"/>
        <v/>
      </c>
      <c r="AA154" s="396">
        <f t="shared" si="51"/>
        <v>0</v>
      </c>
      <c r="AB154" s="396">
        <f t="shared" si="52"/>
        <v>0</v>
      </c>
      <c r="AC154" s="395"/>
      <c r="AE154" s="357" t="str">
        <f t="shared" si="54"/>
        <v/>
      </c>
      <c r="AF154" s="426">
        <f t="shared" si="41"/>
        <v>0</v>
      </c>
    </row>
    <row r="155" spans="1:32" ht="15" customHeight="1" thickBot="1">
      <c r="A155" s="696"/>
      <c r="B155" s="699"/>
      <c r="C155" s="570"/>
      <c r="D155" s="370"/>
      <c r="E155" s="369"/>
      <c r="F155" s="461" t="str">
        <f t="shared" si="53"/>
        <v/>
      </c>
      <c r="G155" s="385"/>
      <c r="H155" s="200" t="str">
        <f>IF(AND(E155="",G155=""),"",SUM(F155:G155))</f>
        <v/>
      </c>
      <c r="I155" s="201"/>
      <c r="J155" s="223"/>
      <c r="K155" s="223"/>
      <c r="L155" s="202" t="str">
        <f>IF(J155="Duplex",VLOOKUP(M155,'Características dos Cabos M Lot'!$C$12:$I$14,7),(IF(J155="Triplex",VLOOKUP(M155,'Características dos Cabos M Lot'!$C$15:$J$20,8),(IF(J155="Quadruplex",VLOOKUP(M155,'Características dos Cabos M Lot'!$C$21:$K$27,9),(IF(J155="13",VLOOKUP(M155,'Características dos Cabos M Lot'!$C$15:$L$20,10),"")))))))</f>
        <v/>
      </c>
      <c r="M155" s="353" t="str">
        <f t="shared" si="55"/>
        <v/>
      </c>
      <c r="N155" s="378"/>
      <c r="O155" s="203" t="str">
        <f t="shared" si="50"/>
        <v/>
      </c>
      <c r="P155" s="192" t="str">
        <f>IF(O155="","",SUM($O$146:O155)+$Z$146)</f>
        <v/>
      </c>
      <c r="Q155" s="203" t="str">
        <f t="shared" si="56"/>
        <v/>
      </c>
      <c r="R155" s="204" t="str">
        <f>IF(J155="Duplex",VLOOKUP(M155,'Características dos Cabos MX CH'!$C$12:$I$14,5),(IF(J155="Triplex",VLOOKUP(M155,'Características dos Cabos MX CH'!$C$15:$J$20,5),(IF(J155="Quadruplex",VLOOKUP(M155,'Características dos Cabos MX CH'!$C$21:$K$27,5),(IF(J155="13",VLOOKUP(M155,'Características dos Cabos MX CH'!$C$15:$L$20,5),"")))))))</f>
        <v/>
      </c>
      <c r="S155" s="204" t="str">
        <f>IF(J155="Duplex",VLOOKUP(M155,'Características dos Cabos MX CH'!$C$12:$I$14,6),(IF(J155="Triplex",VLOOKUP(M155,'Características dos Cabos MX CH'!$C$15:$J$20,6),(IF(J155="Quadruplex",VLOOKUP(M155,'Características dos Cabos MX CH'!$C$21:$K$27,6),(IF(J155="13",VLOOKUP(M155,'Características dos Cabos MX CH'!$C$15:$L$20,6),"")))))))</f>
        <v/>
      </c>
      <c r="T155" s="205" t="str">
        <f t="shared" si="44"/>
        <v/>
      </c>
      <c r="U155" s="448" t="str">
        <f>IF(J155="Duplex",VLOOKUP(M155,'Características dos Cabos MX CH'!$C$12:$I$14,2),(IF(J155="Triplex",VLOOKUP(M155,'Características dos Cabos MX CH'!$C$15:$J$20,2),(IF(J155="Quadruplex",VLOOKUP(M155,'Características dos Cabos MX CH'!$C$21:$K$27,2),(IF(J155="13",VLOOKUP(M155,'Características dos Cabos MX CH'!$C$15:$L$20,2),"")))))))</f>
        <v/>
      </c>
      <c r="V155" s="204" t="str">
        <f>IF(J155="Duplex",VLOOKUP(M155,'Características dos Cabos MX CH'!$C$12:$I$14,3),(IF(J155="Triplex",VLOOKUP(M155,'Características dos Cabos MX CH'!$C$15:$J$20,3),(IF(J155="Quadruplex",VLOOKUP(M155,'Características dos Cabos MX CH'!$C$21:$K$27,3),(IF(J155="13",VLOOKUP(M155,'Características dos Cabos MX CH'!$C$15:$L$20,3),"")))))))</f>
        <v/>
      </c>
      <c r="W155" s="206" t="str">
        <f t="shared" si="45"/>
        <v/>
      </c>
      <c r="X155" s="206" t="str">
        <f t="shared" si="46"/>
        <v/>
      </c>
      <c r="Y155" s="207" t="str">
        <f t="shared" si="47"/>
        <v/>
      </c>
      <c r="AA155" s="396">
        <f t="shared" si="51"/>
        <v>0</v>
      </c>
      <c r="AB155" s="396">
        <f t="shared" si="52"/>
        <v>0</v>
      </c>
      <c r="AC155" s="395"/>
      <c r="AE155" s="357" t="str">
        <f t="shared" si="54"/>
        <v/>
      </c>
      <c r="AF155" s="426">
        <f t="shared" si="41"/>
        <v>0</v>
      </c>
    </row>
    <row r="156" spans="1:32" ht="15" customHeight="1" thickTop="1">
      <c r="A156" s="696"/>
      <c r="B156" s="700" t="str">
        <f>CONCATENATE("Ramal 12 - Derivando no ponto ",C156)</f>
        <v xml:space="preserve">Ramal 12 - Derivando no ponto </v>
      </c>
      <c r="C156" s="571"/>
      <c r="D156" s="371"/>
      <c r="E156" s="374"/>
      <c r="F156" s="459" t="str">
        <f t="shared" si="53"/>
        <v/>
      </c>
      <c r="G156" s="386"/>
      <c r="H156" s="209" t="str">
        <f>IF(AND(E156="",G156=""),"",SUM(F156:G165))</f>
        <v/>
      </c>
      <c r="I156" s="210"/>
      <c r="J156" s="224"/>
      <c r="K156" s="224"/>
      <c r="L156" s="211" t="str">
        <f>IF(J156="Duplex",VLOOKUP(M156,'Características dos Cabos M Lot'!$C$12:$I$14,7),(IF(J156="Triplex",VLOOKUP(M156,'Características dos Cabos M Lot'!$C$15:$J$20,8),(IF(J156="Quadruplex",VLOOKUP(M156,'Características dos Cabos M Lot'!$C$21:$K$27,9),(IF(J156="13",VLOOKUP(M156,'Características dos Cabos M Lot'!$C$15:$L$20,10),"")))))))</f>
        <v/>
      </c>
      <c r="M156" s="354" t="str">
        <f t="shared" si="55"/>
        <v/>
      </c>
      <c r="N156" s="379"/>
      <c r="O156" s="212" t="str">
        <f t="shared" si="50"/>
        <v/>
      </c>
      <c r="P156" s="217" t="str">
        <f>IF(O156="","",O156+VLOOKUP(C156,$D$20:$Q$155,13,FALSE))</f>
        <v/>
      </c>
      <c r="Q156" s="212" t="str">
        <f t="shared" si="56"/>
        <v/>
      </c>
      <c r="R156" s="213" t="str">
        <f>IF(J156="Duplex",VLOOKUP(M156,'Características dos Cabos MX CH'!$C$12:$I$14,5),(IF(J156="Triplex",VLOOKUP(M156,'Características dos Cabos MX CH'!$C$15:$J$20,5),(IF(J156="Quadruplex",VLOOKUP(M156,'Características dos Cabos MX CH'!$C$21:$K$27,5),(IF(J156="13",VLOOKUP(M156,'Características dos Cabos MX CH'!$C$15:$L$20,5),"")))))))</f>
        <v/>
      </c>
      <c r="S156" s="213" t="str">
        <f>IF(J156="Duplex",VLOOKUP(M156,'Características dos Cabos MX CH'!$C$12:$I$14,6),(IF(J156="Triplex",VLOOKUP(M156,'Características dos Cabos MX CH'!$C$15:$J$20,6),(IF(J156="Quadruplex",VLOOKUP(M156,'Características dos Cabos MX CH'!$C$21:$K$27,6),(IF(J156="13",VLOOKUP(M156,'Características dos Cabos MX CH'!$C$15:$L$20,6),"")))))))</f>
        <v/>
      </c>
      <c r="T156" s="214" t="str">
        <f t="shared" si="44"/>
        <v/>
      </c>
      <c r="U156" s="450" t="str">
        <f>IF(J156="Duplex",VLOOKUP(M156,'Características dos Cabos MX CH'!$C$12:$I$14,2),(IF(J156="Triplex",VLOOKUP(M156,'Características dos Cabos MX CH'!$C$15:$J$20,2),(IF(J156="Quadruplex",VLOOKUP(M156,'Características dos Cabos MX CH'!$C$21:$K$27,2),(IF(J156="13",VLOOKUP(M156,'Características dos Cabos MX CH'!$C$15:$L$20,2),"")))))))</f>
        <v/>
      </c>
      <c r="V156" s="213" t="str">
        <f>IF(J156="Duplex",VLOOKUP(M156,'Características dos Cabos MX CH'!$C$12:$I$14,3),(IF(J156="Triplex",VLOOKUP(M156,'Características dos Cabos MX CH'!$C$15:$J$20,3),(IF(J156="Quadruplex",VLOOKUP(M156,'Características dos Cabos MX CH'!$C$21:$K$27,3),(IF(J156="13",VLOOKUP(M156,'Características dos Cabos MX CH'!$C$15:$L$20,3),"")))))))</f>
        <v/>
      </c>
      <c r="W156" s="215" t="str">
        <f t="shared" si="45"/>
        <v/>
      </c>
      <c r="X156" s="215" t="str">
        <f t="shared" si="46"/>
        <v/>
      </c>
      <c r="Y156" s="216" t="str">
        <f t="shared" si="47"/>
        <v/>
      </c>
      <c r="Z156" s="393" t="str">
        <f>IF(O156="","",VLOOKUP(C156,$D$20:$P$155,13,FALSE))</f>
        <v/>
      </c>
      <c r="AA156" s="396">
        <f t="shared" si="51"/>
        <v>0</v>
      </c>
      <c r="AB156" s="396">
        <f t="shared" si="57" ref="AB156:AB165">K156</f>
        <v>0</v>
      </c>
      <c r="AC156" s="395"/>
      <c r="AE156" s="357" t="str">
        <f t="shared" si="54"/>
        <v/>
      </c>
      <c r="AF156" s="426">
        <f t="shared" si="41"/>
        <v>0</v>
      </c>
    </row>
    <row r="157" spans="1:32" ht="15" customHeight="1">
      <c r="A157" s="696"/>
      <c r="B157" s="698"/>
      <c r="C157" s="568"/>
      <c r="D157" s="368"/>
      <c r="E157" s="372"/>
      <c r="F157" s="357" t="str">
        <f t="shared" si="53"/>
        <v/>
      </c>
      <c r="G157" s="384"/>
      <c r="H157" s="190" t="str">
        <f>IF(AND(E157="",G157=""),"",SUM(F157:G165))</f>
        <v/>
      </c>
      <c r="I157" s="191"/>
      <c r="J157" s="222"/>
      <c r="K157" s="222"/>
      <c r="L157" s="197" t="str">
        <f>IF(J157="Duplex",VLOOKUP(M157,'Características dos Cabos M Lot'!$C$12:$I$14,7),(IF(J157="Triplex",VLOOKUP(M157,'Características dos Cabos M Lot'!$C$15:$J$20,8),(IF(J157="Quadruplex",VLOOKUP(M157,'Características dos Cabos M Lot'!$C$21:$K$27,9),(IF(J157="13",VLOOKUP(M157,'Características dos Cabos M Lot'!$C$15:$L$20,10),"")))))))</f>
        <v/>
      </c>
      <c r="M157" s="350" t="str">
        <f t="shared" si="55"/>
        <v/>
      </c>
      <c r="N157" s="377"/>
      <c r="O157" s="192" t="str">
        <f t="shared" si="50"/>
        <v/>
      </c>
      <c r="P157" s="192" t="str">
        <f>IF(O157="","",SUM($O$156:O157)+$Z$156)</f>
        <v/>
      </c>
      <c r="Q157" s="192" t="str">
        <f t="shared" si="56"/>
        <v/>
      </c>
      <c r="R157" s="193" t="str">
        <f>IF(J157="Duplex",VLOOKUP(M157,'Características dos Cabos MX CH'!$C$12:$I$14,5),(IF(J157="Triplex",VLOOKUP(M157,'Características dos Cabos MX CH'!$C$15:$J$20,5),(IF(J157="Quadruplex",VLOOKUP(M157,'Características dos Cabos MX CH'!$C$21:$K$27,5),(IF(J157="13",VLOOKUP(M157,'Características dos Cabos MX CH'!$C$15:$L$20,5),"")))))))</f>
        <v/>
      </c>
      <c r="S157" s="193" t="str">
        <f>IF(J157="Duplex",VLOOKUP(M157,'Características dos Cabos MX CH'!$C$12:$I$14,6),(IF(J157="Triplex",VLOOKUP(M157,'Características dos Cabos MX CH'!$C$15:$J$20,6),(IF(J157="Quadruplex",VLOOKUP(M157,'Características dos Cabos MX CH'!$C$21:$K$27,6),(IF(J157="13",VLOOKUP(M157,'Características dos Cabos MX CH'!$C$15:$L$20,6),"")))))))</f>
        <v/>
      </c>
      <c r="T157" s="194" t="str">
        <f t="shared" si="44"/>
        <v/>
      </c>
      <c r="U157" s="447" t="str">
        <f>IF(J157="Duplex",VLOOKUP(M157,'Características dos Cabos MX CH'!$C$12:$I$14,2),(IF(J157="Triplex",VLOOKUP(M157,'Características dos Cabos MX CH'!$C$15:$J$20,2),(IF(J157="Quadruplex",VLOOKUP(M157,'Características dos Cabos MX CH'!$C$21:$K$27,2),(IF(J157="13",VLOOKUP(M157,'Características dos Cabos MX CH'!$C$15:$L$20,2),"")))))))</f>
        <v/>
      </c>
      <c r="V157" s="193" t="str">
        <f>IF(J157="Duplex",VLOOKUP(M157,'Características dos Cabos MX CH'!$C$12:$I$14,3),(IF(J157="Triplex",VLOOKUP(M157,'Características dos Cabos MX CH'!$C$15:$J$20,3),(IF(J157="Quadruplex",VLOOKUP(M157,'Características dos Cabos MX CH'!$C$21:$K$27,3),(IF(J157="13",VLOOKUP(M157,'Características dos Cabos MX CH'!$C$15:$L$20,3),"")))))))</f>
        <v/>
      </c>
      <c r="W157" s="195" t="str">
        <f t="shared" si="45"/>
        <v/>
      </c>
      <c r="X157" s="195" t="str">
        <f t="shared" si="46"/>
        <v/>
      </c>
      <c r="Y157" s="196" t="str">
        <f t="shared" si="47"/>
        <v/>
      </c>
      <c r="AA157" s="396">
        <f t="shared" si="51"/>
        <v>0</v>
      </c>
      <c r="AB157" s="396">
        <f t="shared" si="57"/>
        <v>0</v>
      </c>
      <c r="AC157" s="395"/>
      <c r="AE157" s="357" t="str">
        <f t="shared" si="54"/>
        <v/>
      </c>
      <c r="AF157" s="426">
        <f t="shared" si="41"/>
        <v>0</v>
      </c>
    </row>
    <row r="158" spans="1:32" ht="15" customHeight="1">
      <c r="A158" s="696"/>
      <c r="B158" s="698"/>
      <c r="C158" s="568"/>
      <c r="D158" s="368"/>
      <c r="E158" s="372"/>
      <c r="F158" s="357" t="str">
        <f t="shared" si="53"/>
        <v/>
      </c>
      <c r="G158" s="384"/>
      <c r="H158" s="190" t="str">
        <f>IF(AND(E158="",G158=""),"",SUM(F158:G165))</f>
        <v/>
      </c>
      <c r="I158" s="191"/>
      <c r="J158" s="222"/>
      <c r="K158" s="222"/>
      <c r="L158" s="197" t="str">
        <f>IF(J158="Duplex",VLOOKUP(M158,'Características dos Cabos M Lot'!$C$12:$I$14,7),(IF(J158="Triplex",VLOOKUP(M158,'Características dos Cabos M Lot'!$C$15:$J$20,8),(IF(J158="Quadruplex",VLOOKUP(M158,'Características dos Cabos M Lot'!$C$21:$K$27,9),(IF(J158="13",VLOOKUP(M158,'Características dos Cabos M Lot'!$C$15:$L$20,10),"")))))))</f>
        <v/>
      </c>
      <c r="M158" s="350" t="str">
        <f t="shared" si="55"/>
        <v/>
      </c>
      <c r="N158" s="377"/>
      <c r="O158" s="192" t="str">
        <f t="shared" si="50"/>
        <v/>
      </c>
      <c r="P158" s="192" t="str">
        <f>IF(O158="","",SUM($O$156:O158)+$Z$156)</f>
        <v/>
      </c>
      <c r="Q158" s="192" t="str">
        <f t="shared" si="56"/>
        <v/>
      </c>
      <c r="R158" s="193" t="str">
        <f>IF(J158="Duplex",VLOOKUP(M158,'Características dos Cabos MX CH'!$C$12:$I$14,5),(IF(J158="Triplex",VLOOKUP(M158,'Características dos Cabos MX CH'!$C$15:$J$20,5),(IF(J158="Quadruplex",VLOOKUP(M158,'Características dos Cabos MX CH'!$C$21:$K$27,5),(IF(J158="13",VLOOKUP(M158,'Características dos Cabos MX CH'!$C$15:$L$20,5),"")))))))</f>
        <v/>
      </c>
      <c r="S158" s="193" t="str">
        <f>IF(J158="Duplex",VLOOKUP(M158,'Características dos Cabos MX CH'!$C$12:$I$14,6),(IF(J158="Triplex",VLOOKUP(M158,'Características dos Cabos MX CH'!$C$15:$J$20,6),(IF(J158="Quadruplex",VLOOKUP(M158,'Características dos Cabos MX CH'!$C$21:$K$27,6),(IF(J158="13",VLOOKUP(M158,'Características dos Cabos MX CH'!$C$15:$L$20,6),"")))))))</f>
        <v/>
      </c>
      <c r="T158" s="194" t="str">
        <f t="shared" si="44"/>
        <v/>
      </c>
      <c r="U158" s="447" t="str">
        <f>IF(J158="Duplex",VLOOKUP(M158,'Características dos Cabos MX CH'!$C$12:$I$14,2),(IF(J158="Triplex",VLOOKUP(M158,'Características dos Cabos MX CH'!$C$15:$J$20,2),(IF(J158="Quadruplex",VLOOKUP(M158,'Características dos Cabos MX CH'!$C$21:$K$27,2),(IF(J158="13",VLOOKUP(M158,'Características dos Cabos MX CH'!$C$15:$L$20,2),"")))))))</f>
        <v/>
      </c>
      <c r="V158" s="193" t="str">
        <f>IF(J158="Duplex",VLOOKUP(M158,'Características dos Cabos MX CH'!$C$12:$I$14,3),(IF(J158="Triplex",VLOOKUP(M158,'Características dos Cabos MX CH'!$C$15:$J$20,3),(IF(J158="Quadruplex",VLOOKUP(M158,'Características dos Cabos MX CH'!$C$21:$K$27,3),(IF(J158="13",VLOOKUP(M158,'Características dos Cabos MX CH'!$C$15:$L$20,3),"")))))))</f>
        <v/>
      </c>
      <c r="W158" s="195" t="str">
        <f t="shared" si="45"/>
        <v/>
      </c>
      <c r="X158" s="195" t="str">
        <f t="shared" si="46"/>
        <v/>
      </c>
      <c r="Y158" s="196" t="str">
        <f t="shared" si="47"/>
        <v/>
      </c>
      <c r="AA158" s="396">
        <f t="shared" si="51"/>
        <v>0</v>
      </c>
      <c r="AB158" s="396">
        <f t="shared" si="57"/>
        <v>0</v>
      </c>
      <c r="AC158" s="395"/>
      <c r="AE158" s="357" t="str">
        <f t="shared" si="54"/>
        <v/>
      </c>
      <c r="AF158" s="426">
        <f t="shared" si="41"/>
        <v>0</v>
      </c>
    </row>
    <row r="159" spans="1:32" ht="15" customHeight="1">
      <c r="A159" s="696"/>
      <c r="B159" s="698"/>
      <c r="C159" s="568"/>
      <c r="D159" s="368"/>
      <c r="E159" s="372"/>
      <c r="F159" s="357" t="str">
        <f t="shared" si="53"/>
        <v/>
      </c>
      <c r="G159" s="384"/>
      <c r="H159" s="190" t="str">
        <f>IF(AND(E159="",G159=""),"",SUM(F159:G165))</f>
        <v/>
      </c>
      <c r="I159" s="191"/>
      <c r="J159" s="222"/>
      <c r="K159" s="222"/>
      <c r="L159" s="197" t="str">
        <f>IF(J159="Duplex",VLOOKUP(M159,'Características dos Cabos M Lot'!$C$12:$I$14,7),(IF(J159="Triplex",VLOOKUP(M159,'Características dos Cabos M Lot'!$C$15:$J$20,8),(IF(J159="Quadruplex",VLOOKUP(M159,'Características dos Cabos M Lot'!$C$21:$K$27,9),(IF(J159="13",VLOOKUP(M159,'Características dos Cabos M Lot'!$C$15:$L$20,10),"")))))))</f>
        <v/>
      </c>
      <c r="M159" s="350" t="str">
        <f t="shared" si="55"/>
        <v/>
      </c>
      <c r="N159" s="377"/>
      <c r="O159" s="192" t="str">
        <f t="shared" si="50"/>
        <v/>
      </c>
      <c r="P159" s="192" t="str">
        <f>IF(O159="","",SUM($O$156:O159)+$Z$156)</f>
        <v/>
      </c>
      <c r="Q159" s="192" t="str">
        <f t="shared" si="56"/>
        <v/>
      </c>
      <c r="R159" s="193" t="str">
        <f>IF(J159="Duplex",VLOOKUP(M159,'Características dos Cabos MX CH'!$C$12:$I$14,5),(IF(J159="Triplex",VLOOKUP(M159,'Características dos Cabos MX CH'!$C$15:$J$20,5),(IF(J159="Quadruplex",VLOOKUP(M159,'Características dos Cabos MX CH'!$C$21:$K$27,5),(IF(J159="13",VLOOKUP(M159,'Características dos Cabos MX CH'!$C$15:$L$20,5),"")))))))</f>
        <v/>
      </c>
      <c r="S159" s="193" t="str">
        <f>IF(J159="Duplex",VLOOKUP(M159,'Características dos Cabos MX CH'!$C$12:$I$14,6),(IF(J159="Triplex",VLOOKUP(M159,'Características dos Cabos MX CH'!$C$15:$J$20,6),(IF(J159="Quadruplex",VLOOKUP(M159,'Características dos Cabos MX CH'!$C$21:$K$27,6),(IF(J159="13",VLOOKUP(M159,'Características dos Cabos MX CH'!$C$15:$L$20,6),"")))))))</f>
        <v/>
      </c>
      <c r="T159" s="194" t="str">
        <f t="shared" si="44"/>
        <v/>
      </c>
      <c r="U159" s="447" t="str">
        <f>IF(J159="Duplex",VLOOKUP(M159,'Características dos Cabos MX CH'!$C$12:$I$14,2),(IF(J159="Triplex",VLOOKUP(M159,'Características dos Cabos MX CH'!$C$15:$J$20,2),(IF(J159="Quadruplex",VLOOKUP(M159,'Características dos Cabos MX CH'!$C$21:$K$27,2),(IF(J159="13",VLOOKUP(M159,'Características dos Cabos MX CH'!$C$15:$L$20,2),"")))))))</f>
        <v/>
      </c>
      <c r="V159" s="193" t="str">
        <f>IF(J159="Duplex",VLOOKUP(M159,'Características dos Cabos MX CH'!$C$12:$I$14,3),(IF(J159="Triplex",VLOOKUP(M159,'Características dos Cabos MX CH'!$C$15:$J$20,3),(IF(J159="Quadruplex",VLOOKUP(M159,'Características dos Cabos MX CH'!$C$21:$K$27,3),(IF(J159="13",VLOOKUP(M159,'Características dos Cabos MX CH'!$C$15:$L$20,3),"")))))))</f>
        <v/>
      </c>
      <c r="W159" s="195" t="str">
        <f t="shared" si="45"/>
        <v/>
      </c>
      <c r="X159" s="195" t="str">
        <f t="shared" si="46"/>
        <v/>
      </c>
      <c r="Y159" s="196" t="str">
        <f t="shared" si="47"/>
        <v/>
      </c>
      <c r="AA159" s="396">
        <f t="shared" si="51"/>
        <v>0</v>
      </c>
      <c r="AB159" s="396">
        <f t="shared" si="57"/>
        <v>0</v>
      </c>
      <c r="AC159" s="395"/>
      <c r="AE159" s="357" t="str">
        <f t="shared" si="54"/>
        <v/>
      </c>
      <c r="AF159" s="426">
        <f t="shared" si="41"/>
        <v>0</v>
      </c>
    </row>
    <row r="160" spans="1:32" ht="15" customHeight="1">
      <c r="A160" s="696"/>
      <c r="B160" s="698"/>
      <c r="C160" s="568"/>
      <c r="D160" s="368"/>
      <c r="E160" s="372"/>
      <c r="F160" s="357" t="str">
        <f t="shared" si="53"/>
        <v/>
      </c>
      <c r="G160" s="384"/>
      <c r="H160" s="190" t="str">
        <f>IF(AND(E160="",G160=""),"",SUM(F160:G165))</f>
        <v/>
      </c>
      <c r="I160" s="191"/>
      <c r="J160" s="222"/>
      <c r="K160" s="222"/>
      <c r="L160" s="197" t="str">
        <f>IF(J160="Duplex",VLOOKUP(M160,'Características dos Cabos M Lot'!$C$12:$I$14,7),(IF(J160="Triplex",VLOOKUP(M160,'Características dos Cabos M Lot'!$C$15:$J$20,8),(IF(J160="Quadruplex",VLOOKUP(M160,'Características dos Cabos M Lot'!$C$21:$K$27,9),(IF(J160="13",VLOOKUP(M160,'Características dos Cabos M Lot'!$C$15:$L$20,10),"")))))))</f>
        <v/>
      </c>
      <c r="M160" s="350" t="str">
        <f t="shared" si="55"/>
        <v/>
      </c>
      <c r="N160" s="377"/>
      <c r="O160" s="192" t="str">
        <f t="shared" si="50"/>
        <v/>
      </c>
      <c r="P160" s="192" t="str">
        <f>IF(O160="","",SUM($O$156:O160)+$Z$156)</f>
        <v/>
      </c>
      <c r="Q160" s="192" t="str">
        <f t="shared" si="56"/>
        <v/>
      </c>
      <c r="R160" s="193" t="str">
        <f>IF(J160="Duplex",VLOOKUP(M160,'Características dos Cabos MX CH'!$C$12:$I$14,5),(IF(J160="Triplex",VLOOKUP(M160,'Características dos Cabos MX CH'!$C$15:$J$20,5),(IF(J160="Quadruplex",VLOOKUP(M160,'Características dos Cabos MX CH'!$C$21:$K$27,5),(IF(J160="13",VLOOKUP(M160,'Características dos Cabos MX CH'!$C$15:$L$20,5),"")))))))</f>
        <v/>
      </c>
      <c r="S160" s="193" t="str">
        <f>IF(J160="Duplex",VLOOKUP(M160,'Características dos Cabos MX CH'!$C$12:$I$14,6),(IF(J160="Triplex",VLOOKUP(M160,'Características dos Cabos MX CH'!$C$15:$J$20,6),(IF(J160="Quadruplex",VLOOKUP(M160,'Características dos Cabos MX CH'!$C$21:$K$27,6),(IF(J160="13",VLOOKUP(M160,'Características dos Cabos MX CH'!$C$15:$L$20,6),"")))))))</f>
        <v/>
      </c>
      <c r="T160" s="194" t="str">
        <f t="shared" si="44"/>
        <v/>
      </c>
      <c r="U160" s="447" t="str">
        <f>IF(J160="Duplex",VLOOKUP(M160,'Características dos Cabos MX CH'!$C$12:$I$14,2),(IF(J160="Triplex",VLOOKUP(M160,'Características dos Cabos MX CH'!$C$15:$J$20,2),(IF(J160="Quadruplex",VLOOKUP(M160,'Características dos Cabos MX CH'!$C$21:$K$27,2),(IF(J160="13",VLOOKUP(M160,'Características dos Cabos MX CH'!$C$15:$L$20,2),"")))))))</f>
        <v/>
      </c>
      <c r="V160" s="193" t="str">
        <f>IF(J160="Duplex",VLOOKUP(M160,'Características dos Cabos MX CH'!$C$12:$I$14,3),(IF(J160="Triplex",VLOOKUP(M160,'Características dos Cabos MX CH'!$C$15:$J$20,3),(IF(J160="Quadruplex",VLOOKUP(M160,'Características dos Cabos MX CH'!$C$21:$K$27,3),(IF(J160="13",VLOOKUP(M160,'Características dos Cabos MX CH'!$C$15:$L$20,3),"")))))))</f>
        <v/>
      </c>
      <c r="W160" s="195" t="str">
        <f t="shared" si="45"/>
        <v/>
      </c>
      <c r="X160" s="195" t="str">
        <f t="shared" si="46"/>
        <v/>
      </c>
      <c r="Y160" s="196" t="str">
        <f t="shared" si="47"/>
        <v/>
      </c>
      <c r="AA160" s="396">
        <f t="shared" si="51"/>
        <v>0</v>
      </c>
      <c r="AB160" s="396">
        <f t="shared" si="57"/>
        <v>0</v>
      </c>
      <c r="AC160" s="395"/>
      <c r="AE160" s="357" t="str">
        <f t="shared" si="54"/>
        <v/>
      </c>
      <c r="AF160" s="426">
        <f t="shared" si="41"/>
        <v>0</v>
      </c>
    </row>
    <row r="161" spans="1:32" ht="15" customHeight="1">
      <c r="A161" s="696"/>
      <c r="B161" s="698"/>
      <c r="C161" s="568"/>
      <c r="D161" s="368"/>
      <c r="E161" s="372"/>
      <c r="F161" s="357" t="str">
        <f t="shared" si="53"/>
        <v/>
      </c>
      <c r="G161" s="384"/>
      <c r="H161" s="190" t="str">
        <f>IF(AND(E161="",G161=""),"",SUM(F161:G165))</f>
        <v/>
      </c>
      <c r="I161" s="191"/>
      <c r="J161" s="222"/>
      <c r="K161" s="222"/>
      <c r="L161" s="197" t="str">
        <f>IF(J161="Duplex",VLOOKUP(M161,'Características dos Cabos M Lot'!$C$12:$I$14,7),(IF(J161="Triplex",VLOOKUP(M161,'Características dos Cabos M Lot'!$C$15:$J$20,8),(IF(J161="Quadruplex",VLOOKUP(M161,'Características dos Cabos M Lot'!$C$21:$K$27,9),(IF(J161="13",VLOOKUP(M161,'Características dos Cabos M Lot'!$C$15:$L$20,10),"")))))))</f>
        <v/>
      </c>
      <c r="M161" s="350" t="str">
        <f t="shared" si="55"/>
        <v/>
      </c>
      <c r="N161" s="377"/>
      <c r="O161" s="192" t="str">
        <f t="shared" si="50"/>
        <v/>
      </c>
      <c r="P161" s="192" t="str">
        <f>IF(O161="","",SUM($O$156:O161)+$Z$156)</f>
        <v/>
      </c>
      <c r="Q161" s="192" t="str">
        <f t="shared" si="56"/>
        <v/>
      </c>
      <c r="R161" s="193" t="str">
        <f>IF(J161="Duplex",VLOOKUP(M161,'Características dos Cabos MX CH'!$C$12:$I$14,5),(IF(J161="Triplex",VLOOKUP(M161,'Características dos Cabos MX CH'!$C$15:$J$20,5),(IF(J161="Quadruplex",VLOOKUP(M161,'Características dos Cabos MX CH'!$C$21:$K$27,5),(IF(J161="13",VLOOKUP(M161,'Características dos Cabos MX CH'!$C$15:$L$20,5),"")))))))</f>
        <v/>
      </c>
      <c r="S161" s="193" t="str">
        <f>IF(J161="Duplex",VLOOKUP(M161,'Características dos Cabos MX CH'!$C$12:$I$14,6),(IF(J161="Triplex",VLOOKUP(M161,'Características dos Cabos MX CH'!$C$15:$J$20,6),(IF(J161="Quadruplex",VLOOKUP(M161,'Características dos Cabos MX CH'!$C$21:$K$27,6),(IF(J161="13",VLOOKUP(M161,'Características dos Cabos MX CH'!$C$15:$L$20,6),"")))))))</f>
        <v/>
      </c>
      <c r="T161" s="194" t="str">
        <f t="shared" si="44"/>
        <v/>
      </c>
      <c r="U161" s="447" t="str">
        <f>IF(J161="Duplex",VLOOKUP(M161,'Características dos Cabos MX CH'!$C$12:$I$14,2),(IF(J161="Triplex",VLOOKUP(M161,'Características dos Cabos MX CH'!$C$15:$J$20,2),(IF(J161="Quadruplex",VLOOKUP(M161,'Características dos Cabos MX CH'!$C$21:$K$27,2),(IF(J161="13",VLOOKUP(M161,'Características dos Cabos MX CH'!$C$15:$L$20,2),"")))))))</f>
        <v/>
      </c>
      <c r="V161" s="193" t="str">
        <f>IF(J161="Duplex",VLOOKUP(M161,'Características dos Cabos MX CH'!$C$12:$I$14,3),(IF(J161="Triplex",VLOOKUP(M161,'Características dos Cabos MX CH'!$C$15:$J$20,3),(IF(J161="Quadruplex",VLOOKUP(M161,'Características dos Cabos MX CH'!$C$21:$K$27,3),(IF(J161="13",VLOOKUP(M161,'Características dos Cabos MX CH'!$C$15:$L$20,3),"")))))))</f>
        <v/>
      </c>
      <c r="W161" s="195" t="str">
        <f t="shared" si="45"/>
        <v/>
      </c>
      <c r="X161" s="195" t="str">
        <f t="shared" si="46"/>
        <v/>
      </c>
      <c r="Y161" s="196" t="str">
        <f t="shared" si="47"/>
        <v/>
      </c>
      <c r="AA161" s="396">
        <f t="shared" si="51"/>
        <v>0</v>
      </c>
      <c r="AB161" s="396">
        <f t="shared" si="57"/>
        <v>0</v>
      </c>
      <c r="AC161" s="395"/>
      <c r="AE161" s="357" t="str">
        <f t="shared" si="54"/>
        <v/>
      </c>
      <c r="AF161" s="426">
        <f t="shared" si="41"/>
        <v>0</v>
      </c>
    </row>
    <row r="162" spans="1:32" ht="15" customHeight="1">
      <c r="A162" s="696"/>
      <c r="B162" s="698"/>
      <c r="C162" s="568"/>
      <c r="D162" s="368"/>
      <c r="E162" s="372"/>
      <c r="F162" s="357" t="str">
        <f t="shared" si="53"/>
        <v/>
      </c>
      <c r="G162" s="384"/>
      <c r="H162" s="190" t="str">
        <f>IF(AND(E162="",G162=""),"",SUM(F162:G165))</f>
        <v/>
      </c>
      <c r="I162" s="191"/>
      <c r="J162" s="222"/>
      <c r="K162" s="222"/>
      <c r="L162" s="197" t="str">
        <f>IF(J162="Duplex",VLOOKUP(M162,'Características dos Cabos M Lot'!$C$12:$I$14,7),(IF(J162="Triplex",VLOOKUP(M162,'Características dos Cabos M Lot'!$C$15:$J$20,8),(IF(J162="Quadruplex",VLOOKUP(M162,'Características dos Cabos M Lot'!$C$21:$K$27,9),(IF(J162="13",VLOOKUP(M162,'Características dos Cabos M Lot'!$C$15:$L$20,10),"")))))))</f>
        <v/>
      </c>
      <c r="M162" s="350" t="str">
        <f t="shared" si="55"/>
        <v/>
      </c>
      <c r="N162" s="377"/>
      <c r="O162" s="192" t="str">
        <f t="shared" si="50"/>
        <v/>
      </c>
      <c r="P162" s="192" t="str">
        <f>IF(O162="","",SUM($O$156:O162)+$Z$156)</f>
        <v/>
      </c>
      <c r="Q162" s="192" t="str">
        <f t="shared" si="56"/>
        <v/>
      </c>
      <c r="R162" s="193" t="str">
        <f>IF(J162="Duplex",VLOOKUP(M162,'Características dos Cabos MX CH'!$C$12:$I$14,5),(IF(J162="Triplex",VLOOKUP(M162,'Características dos Cabos MX CH'!$C$15:$J$20,5),(IF(J162="Quadruplex",VLOOKUP(M162,'Características dos Cabos MX CH'!$C$21:$K$27,5),(IF(J162="13",VLOOKUP(M162,'Características dos Cabos MX CH'!$C$15:$L$20,5),"")))))))</f>
        <v/>
      </c>
      <c r="S162" s="193" t="str">
        <f>IF(J162="Duplex",VLOOKUP(M162,'Características dos Cabos MX CH'!$C$12:$I$14,6),(IF(J162="Triplex",VLOOKUP(M162,'Características dos Cabos MX CH'!$C$15:$J$20,6),(IF(J162="Quadruplex",VLOOKUP(M162,'Características dos Cabos MX CH'!$C$21:$K$27,6),(IF(J162="13",VLOOKUP(M162,'Características dos Cabos MX CH'!$C$15:$L$20,6),"")))))))</f>
        <v/>
      </c>
      <c r="T162" s="194" t="str">
        <f t="shared" si="44"/>
        <v/>
      </c>
      <c r="U162" s="447" t="str">
        <f>IF(J162="Duplex",VLOOKUP(M162,'Características dos Cabos MX CH'!$C$12:$I$14,2),(IF(J162="Triplex",VLOOKUP(M162,'Características dos Cabos MX CH'!$C$15:$J$20,2),(IF(J162="Quadruplex",VLOOKUP(M162,'Características dos Cabos MX CH'!$C$21:$K$27,2),(IF(J162="13",VLOOKUP(M162,'Características dos Cabos MX CH'!$C$15:$L$20,2),"")))))))</f>
        <v/>
      </c>
      <c r="V162" s="193" t="str">
        <f>IF(J162="Duplex",VLOOKUP(M162,'Características dos Cabos MX CH'!$C$12:$I$14,3),(IF(J162="Triplex",VLOOKUP(M162,'Características dos Cabos MX CH'!$C$15:$J$20,3),(IF(J162="Quadruplex",VLOOKUP(M162,'Características dos Cabos MX CH'!$C$21:$K$27,3),(IF(J162="13",VLOOKUP(M162,'Características dos Cabos MX CH'!$C$15:$L$20,3),"")))))))</f>
        <v/>
      </c>
      <c r="W162" s="195" t="str">
        <f t="shared" si="45"/>
        <v/>
      </c>
      <c r="X162" s="195" t="str">
        <f t="shared" si="46"/>
        <v/>
      </c>
      <c r="Y162" s="196" t="str">
        <f t="shared" si="47"/>
        <v/>
      </c>
      <c r="AA162" s="396">
        <f t="shared" si="51"/>
        <v>0</v>
      </c>
      <c r="AB162" s="396">
        <f t="shared" si="57"/>
        <v>0</v>
      </c>
      <c r="AC162" s="395"/>
      <c r="AE162" s="357" t="str">
        <f t="shared" si="54"/>
        <v/>
      </c>
      <c r="AF162" s="426">
        <f t="shared" si="41"/>
        <v>0</v>
      </c>
    </row>
    <row r="163" spans="1:32" ht="15" customHeight="1">
      <c r="A163" s="696"/>
      <c r="B163" s="698"/>
      <c r="C163" s="568"/>
      <c r="D163" s="368"/>
      <c r="E163" s="372"/>
      <c r="F163" s="357" t="str">
        <f t="shared" si="53"/>
        <v/>
      </c>
      <c r="G163" s="384"/>
      <c r="H163" s="190" t="str">
        <f>IF(AND(E163="",G163=""),"",SUM(F163:G165))</f>
        <v/>
      </c>
      <c r="I163" s="191"/>
      <c r="J163" s="222"/>
      <c r="K163" s="222"/>
      <c r="L163" s="197" t="str">
        <f>IF(J163="Duplex",VLOOKUP(M163,'Características dos Cabos M Lot'!$C$12:$I$14,7),(IF(J163="Triplex",VLOOKUP(M163,'Características dos Cabos M Lot'!$C$15:$J$20,8),(IF(J163="Quadruplex",VLOOKUP(M163,'Características dos Cabos M Lot'!$C$21:$K$27,9),(IF(J163="13",VLOOKUP(M163,'Características dos Cabos M Lot'!$C$15:$L$20,10),"")))))))</f>
        <v/>
      </c>
      <c r="M163" s="350" t="str">
        <f t="shared" si="55"/>
        <v/>
      </c>
      <c r="N163" s="377"/>
      <c r="O163" s="192" t="str">
        <f t="shared" si="50"/>
        <v/>
      </c>
      <c r="P163" s="192" t="str">
        <f>IF(O163="","",SUM($O$156:O163)+$Z$156)</f>
        <v/>
      </c>
      <c r="Q163" s="192" t="str">
        <f t="shared" si="56"/>
        <v/>
      </c>
      <c r="R163" s="193" t="str">
        <f>IF(J163="Duplex",VLOOKUP(M163,'Características dos Cabos MX CH'!$C$12:$I$14,5),(IF(J163="Triplex",VLOOKUP(M163,'Características dos Cabos MX CH'!$C$15:$J$20,5),(IF(J163="Quadruplex",VLOOKUP(M163,'Características dos Cabos MX CH'!$C$21:$K$27,5),(IF(J163="13",VLOOKUP(M163,'Características dos Cabos MX CH'!$C$15:$L$20,5),"")))))))</f>
        <v/>
      </c>
      <c r="S163" s="193" t="str">
        <f>IF(J163="Duplex",VLOOKUP(M163,'Características dos Cabos MX CH'!$C$12:$I$14,6),(IF(J163="Triplex",VLOOKUP(M163,'Características dos Cabos MX CH'!$C$15:$J$20,6),(IF(J163="Quadruplex",VLOOKUP(M163,'Características dos Cabos MX CH'!$C$21:$K$27,6),(IF(J163="13",VLOOKUP(M163,'Características dos Cabos MX CH'!$C$15:$L$20,6),"")))))))</f>
        <v/>
      </c>
      <c r="T163" s="194" t="str">
        <f t="shared" si="44"/>
        <v/>
      </c>
      <c r="U163" s="447" t="str">
        <f>IF(J163="Duplex",VLOOKUP(M163,'Características dos Cabos MX CH'!$C$12:$I$14,2),(IF(J163="Triplex",VLOOKUP(M163,'Características dos Cabos MX CH'!$C$15:$J$20,2),(IF(J163="Quadruplex",VLOOKUP(M163,'Características dos Cabos MX CH'!$C$21:$K$27,2),(IF(J163="13",VLOOKUP(M163,'Características dos Cabos MX CH'!$C$15:$L$20,2),"")))))))</f>
        <v/>
      </c>
      <c r="V163" s="193" t="str">
        <f>IF(J163="Duplex",VLOOKUP(M163,'Características dos Cabos MX CH'!$C$12:$I$14,3),(IF(J163="Triplex",VLOOKUP(M163,'Características dos Cabos MX CH'!$C$15:$J$20,3),(IF(J163="Quadruplex",VLOOKUP(M163,'Características dos Cabos MX CH'!$C$21:$K$27,3),(IF(J163="13",VLOOKUP(M163,'Características dos Cabos MX CH'!$C$15:$L$20,3),"")))))))</f>
        <v/>
      </c>
      <c r="W163" s="195" t="str">
        <f t="shared" si="45"/>
        <v/>
      </c>
      <c r="X163" s="195" t="str">
        <f t="shared" si="46"/>
        <v/>
      </c>
      <c r="Y163" s="196" t="str">
        <f t="shared" si="47"/>
        <v/>
      </c>
      <c r="AA163" s="396">
        <f t="shared" si="51"/>
        <v>0</v>
      </c>
      <c r="AB163" s="396">
        <f t="shared" si="57"/>
        <v>0</v>
      </c>
      <c r="AC163" s="395"/>
      <c r="AE163" s="357" t="str">
        <f t="shared" si="54"/>
        <v/>
      </c>
      <c r="AF163" s="426">
        <f t="shared" si="41"/>
        <v>0</v>
      </c>
    </row>
    <row r="164" spans="1:32" ht="15" customHeight="1">
      <c r="A164" s="696"/>
      <c r="B164" s="698"/>
      <c r="C164" s="568"/>
      <c r="D164" s="368"/>
      <c r="E164" s="372"/>
      <c r="F164" s="357" t="str">
        <f t="shared" si="53"/>
        <v/>
      </c>
      <c r="G164" s="384"/>
      <c r="H164" s="190" t="str">
        <f>IF(AND(E164="",G164=""),"",SUM(F164:G165))</f>
        <v/>
      </c>
      <c r="I164" s="191"/>
      <c r="J164" s="222"/>
      <c r="K164" s="222"/>
      <c r="L164" s="197" t="str">
        <f>IF(J164="Duplex",VLOOKUP(M164,'Características dos Cabos M Lot'!$C$12:$I$14,7),(IF(J164="Triplex",VLOOKUP(M164,'Características dos Cabos M Lot'!$C$15:$J$20,8),(IF(J164="Quadruplex",VLOOKUP(M164,'Características dos Cabos M Lot'!$C$21:$K$27,9),(IF(J164="13",VLOOKUP(M164,'Características dos Cabos M Lot'!$C$15:$L$20,10),"")))))))</f>
        <v/>
      </c>
      <c r="M164" s="350" t="str">
        <f t="shared" si="55"/>
        <v/>
      </c>
      <c r="N164" s="377"/>
      <c r="O164" s="192" t="str">
        <f t="shared" si="50"/>
        <v/>
      </c>
      <c r="P164" s="192" t="str">
        <f>IF(O164="","",SUM($O$156:O164)+$Z$156)</f>
        <v/>
      </c>
      <c r="Q164" s="192" t="str">
        <f t="shared" si="56"/>
        <v/>
      </c>
      <c r="R164" s="193" t="str">
        <f>IF(J164="Duplex",VLOOKUP(M164,'Características dos Cabos MX CH'!$C$12:$I$14,5),(IF(J164="Triplex",VLOOKUP(M164,'Características dos Cabos MX CH'!$C$15:$J$20,5),(IF(J164="Quadruplex",VLOOKUP(M164,'Características dos Cabos MX CH'!$C$21:$K$27,5),(IF(J164="13",VLOOKUP(M164,'Características dos Cabos MX CH'!$C$15:$L$20,5),"")))))))</f>
        <v/>
      </c>
      <c r="S164" s="193" t="str">
        <f>IF(J164="Duplex",VLOOKUP(M164,'Características dos Cabos MX CH'!$C$12:$I$14,6),(IF(J164="Triplex",VLOOKUP(M164,'Características dos Cabos MX CH'!$C$15:$J$20,6),(IF(J164="Quadruplex",VLOOKUP(M164,'Características dos Cabos MX CH'!$C$21:$K$27,6),(IF(J164="13",VLOOKUP(M164,'Características dos Cabos MX CH'!$C$15:$L$20,6),"")))))))</f>
        <v/>
      </c>
      <c r="T164" s="194" t="str">
        <f t="shared" si="44"/>
        <v/>
      </c>
      <c r="U164" s="447" t="str">
        <f>IF(J164="Duplex",VLOOKUP(M164,'Características dos Cabos MX CH'!$C$12:$I$14,2),(IF(J164="Triplex",VLOOKUP(M164,'Características dos Cabos MX CH'!$C$15:$J$20,2),(IF(J164="Quadruplex",VLOOKUP(M164,'Características dos Cabos MX CH'!$C$21:$K$27,2),(IF(J164="13",VLOOKUP(M164,'Características dos Cabos MX CH'!$C$15:$L$20,2),"")))))))</f>
        <v/>
      </c>
      <c r="V164" s="193" t="str">
        <f>IF(J164="Duplex",VLOOKUP(M164,'Características dos Cabos MX CH'!$C$12:$I$14,3),(IF(J164="Triplex",VLOOKUP(M164,'Características dos Cabos MX CH'!$C$15:$J$20,3),(IF(J164="Quadruplex",VLOOKUP(M164,'Características dos Cabos MX CH'!$C$21:$K$27,3),(IF(J164="13",VLOOKUP(M164,'Características dos Cabos MX CH'!$C$15:$L$20,3),"")))))))</f>
        <v/>
      </c>
      <c r="W164" s="195" t="str">
        <f t="shared" si="45"/>
        <v/>
      </c>
      <c r="X164" s="195" t="str">
        <f t="shared" si="46"/>
        <v/>
      </c>
      <c r="Y164" s="196" t="str">
        <f t="shared" si="47"/>
        <v/>
      </c>
      <c r="AA164" s="396">
        <f t="shared" si="51"/>
        <v>0</v>
      </c>
      <c r="AB164" s="396">
        <f t="shared" si="57"/>
        <v>0</v>
      </c>
      <c r="AC164" s="395"/>
      <c r="AE164" s="357" t="str">
        <f t="shared" si="54"/>
        <v/>
      </c>
      <c r="AF164" s="426">
        <f t="shared" si="41"/>
        <v>0</v>
      </c>
    </row>
    <row r="165" spans="1:32" ht="15" customHeight="1" thickBot="1">
      <c r="A165" s="696"/>
      <c r="B165" s="699"/>
      <c r="C165" s="570"/>
      <c r="D165" s="370"/>
      <c r="E165" s="369"/>
      <c r="F165" s="461" t="str">
        <f t="shared" si="53"/>
        <v/>
      </c>
      <c r="G165" s="385"/>
      <c r="H165" s="200" t="str">
        <f>IF(AND(E165="",G165=""),"",SUM(F165:G165))</f>
        <v/>
      </c>
      <c r="I165" s="201"/>
      <c r="J165" s="223"/>
      <c r="K165" s="223"/>
      <c r="L165" s="202" t="str">
        <f>IF(J165="Duplex",VLOOKUP(M165,'Características dos Cabos M Lot'!$C$12:$I$14,7),(IF(J165="Triplex",VLOOKUP(M165,'Características dos Cabos M Lot'!$C$15:$J$20,8),(IF(J165="Quadruplex",VLOOKUP(M165,'Características dos Cabos M Lot'!$C$21:$K$27,9),(IF(J165="13",VLOOKUP(M165,'Características dos Cabos M Lot'!$C$15:$L$20,10),"")))))))</f>
        <v/>
      </c>
      <c r="M165" s="353" t="str">
        <f t="shared" si="55"/>
        <v/>
      </c>
      <c r="N165" s="378"/>
      <c r="O165" s="203" t="str">
        <f t="shared" si="50"/>
        <v/>
      </c>
      <c r="P165" s="203" t="str">
        <f>IF(O165="","",SUM($O$156:O165)+$Z$156)</f>
        <v/>
      </c>
      <c r="Q165" s="203" t="str">
        <f t="shared" si="56"/>
        <v/>
      </c>
      <c r="R165" s="204" t="str">
        <f>IF(J165="Duplex",VLOOKUP(M165,'Características dos Cabos MX CH'!$C$12:$I$14,5),(IF(J165="Triplex",VLOOKUP(M165,'Características dos Cabos MX CH'!$C$15:$J$20,5),(IF(J165="Quadruplex",VLOOKUP(M165,'Características dos Cabos MX CH'!$C$21:$K$27,5),(IF(J165="13",VLOOKUP(M165,'Características dos Cabos MX CH'!$C$15:$L$20,5),"")))))))</f>
        <v/>
      </c>
      <c r="S165" s="204" t="str">
        <f>IF(J165="Duplex",VLOOKUP(M165,'Características dos Cabos MX CH'!$C$12:$I$14,6),(IF(J165="Triplex",VLOOKUP(M165,'Características dos Cabos MX CH'!$C$15:$J$20,6),(IF(J165="Quadruplex",VLOOKUP(M165,'Características dos Cabos MX CH'!$C$21:$K$27,6),(IF(J165="13",VLOOKUP(M165,'Características dos Cabos MX CH'!$C$15:$L$20,6),"")))))))</f>
        <v/>
      </c>
      <c r="T165" s="561" t="str">
        <f t="shared" si="44"/>
        <v/>
      </c>
      <c r="U165" s="448" t="str">
        <f>IF(J165="Duplex",VLOOKUP(M165,'Características dos Cabos MX CH'!$C$12:$I$14,2),(IF(J165="Triplex",VLOOKUP(M165,'Características dos Cabos MX CH'!$C$15:$J$20,2),(IF(J165="Quadruplex",VLOOKUP(M165,'Características dos Cabos MX CH'!$C$21:$K$27,2),(IF(J165="13",VLOOKUP(M165,'Características dos Cabos MX CH'!$C$15:$L$20,2),"")))))))</f>
        <v/>
      </c>
      <c r="V165" s="204" t="str">
        <f>IF(J165="Duplex",VLOOKUP(M165,'Características dos Cabos MX CH'!$C$12:$I$14,3),(IF(J165="Triplex",VLOOKUP(M165,'Características dos Cabos MX CH'!$C$15:$J$20,3),(IF(J165="Quadruplex",VLOOKUP(M165,'Características dos Cabos MX CH'!$C$21:$K$27,3),(IF(J165="13",VLOOKUP(M165,'Características dos Cabos MX CH'!$C$15:$L$20,3),"")))))))</f>
        <v/>
      </c>
      <c r="W165" s="206" t="str">
        <f t="shared" si="45"/>
        <v/>
      </c>
      <c r="X165" s="206" t="str">
        <f t="shared" si="46"/>
        <v/>
      </c>
      <c r="Y165" s="207" t="str">
        <f t="shared" si="47"/>
        <v/>
      </c>
      <c r="AA165" s="396">
        <f t="shared" si="51"/>
        <v>0</v>
      </c>
      <c r="AB165" s="396">
        <f t="shared" si="57"/>
        <v>0</v>
      </c>
      <c r="AC165" s="395"/>
      <c r="AE165" s="357" t="str">
        <f t="shared" si="54"/>
        <v/>
      </c>
      <c r="AF165" s="426">
        <f t="shared" si="41"/>
        <v>0</v>
      </c>
    </row>
    <row r="166" spans="1:32" ht="15" customHeight="1" thickTop="1">
      <c r="A166" s="696"/>
      <c r="B166" s="700" t="str">
        <f>CONCATENATE("Ramal 13 - Derivando no ponto ",C166)</f>
        <v xml:space="preserve">Ramal 13 - Derivando no ponto </v>
      </c>
      <c r="C166" s="571"/>
      <c r="D166" s="371"/>
      <c r="E166" s="374"/>
      <c r="F166" s="459" t="str">
        <f t="shared" si="53"/>
        <v/>
      </c>
      <c r="G166" s="386"/>
      <c r="H166" s="209" t="str">
        <f>IF(AND(E166="",G166=""),"",SUM(F166:G175))</f>
        <v/>
      </c>
      <c r="I166" s="210"/>
      <c r="J166" s="224"/>
      <c r="K166" s="224"/>
      <c r="L166" s="211" t="str">
        <f>IF(J166="Duplex",VLOOKUP(M166,'Características dos Cabos M Lot'!$C$12:$I$14,7),(IF(J166="Triplex",VLOOKUP(M166,'Características dos Cabos M Lot'!$C$15:$J$20,8),(IF(J166="Quadruplex",VLOOKUP(M166,'Características dos Cabos M Lot'!$C$21:$K$27,9),(IF(J166="13",VLOOKUP(M166,'Características dos Cabos M Lot'!$C$15:$L$20,10),"")))))))</f>
        <v/>
      </c>
      <c r="M166" s="354" t="str">
        <f t="shared" si="55"/>
        <v/>
      </c>
      <c r="N166" s="379"/>
      <c r="O166" s="212" t="str">
        <f t="shared" si="50"/>
        <v/>
      </c>
      <c r="P166" s="212" t="str">
        <f>IF(O166="","",O166+VLOOKUP(C166,$D$20:$Q$165,13,FALSE))</f>
        <v/>
      </c>
      <c r="Q166" s="212" t="str">
        <f t="shared" si="56"/>
        <v/>
      </c>
      <c r="R166" s="213" t="str">
        <f>IF(J166="Duplex",VLOOKUP(M166,'Características dos Cabos MX CH'!$C$12:$I$14,5),(IF(J166="Triplex",VLOOKUP(M166,'Características dos Cabos MX CH'!$C$15:$J$20,5),(IF(J166="Quadruplex",VLOOKUP(M166,'Características dos Cabos MX CH'!$C$21:$K$27,5),(IF(J166="13",VLOOKUP(M166,'Características dos Cabos MX CH'!$C$15:$L$20,5),"")))))))</f>
        <v/>
      </c>
      <c r="S166" s="213" t="str">
        <f>IF(J166="Duplex",VLOOKUP(M166,'Características dos Cabos MX CH'!$C$12:$I$14,6),(IF(J166="Triplex",VLOOKUP(M166,'Características dos Cabos MX CH'!$C$15:$J$20,6),(IF(J166="Quadruplex",VLOOKUP(M166,'Características dos Cabos MX CH'!$C$21:$K$27,6),(IF(J166="13",VLOOKUP(M166,'Características dos Cabos MX CH'!$C$15:$L$20,6),"")))))))</f>
        <v/>
      </c>
      <c r="T166" s="214" t="str">
        <f t="shared" si="44"/>
        <v/>
      </c>
      <c r="U166" s="450" t="str">
        <f>IF(J166="Duplex",VLOOKUP(M166,'Características dos Cabos MX CH'!$C$12:$I$14,2),(IF(J166="Triplex",VLOOKUP(M166,'Características dos Cabos MX CH'!$C$15:$J$20,2),(IF(J166="Quadruplex",VLOOKUP(M166,'Características dos Cabos MX CH'!$C$21:$K$27,2),(IF(J166="13",VLOOKUP(M166,'Características dos Cabos MX CH'!$C$15:$L$20,2),"")))))))</f>
        <v/>
      </c>
      <c r="V166" s="213" t="str">
        <f>IF(J166="Duplex",VLOOKUP(M166,'Características dos Cabos MX CH'!$C$12:$I$14,3),(IF(J166="Triplex",VLOOKUP(M166,'Características dos Cabos MX CH'!$C$15:$J$20,3),(IF(J166="Quadruplex",VLOOKUP(M166,'Características dos Cabos MX CH'!$C$21:$K$27,3),(IF(J166="13",VLOOKUP(M166,'Características dos Cabos MX CH'!$C$15:$L$20,3),"")))))))</f>
        <v/>
      </c>
      <c r="W166" s="215" t="str">
        <f t="shared" si="45"/>
        <v/>
      </c>
      <c r="X166" s="215" t="str">
        <f t="shared" si="46"/>
        <v/>
      </c>
      <c r="Y166" s="216" t="str">
        <f t="shared" si="47"/>
        <v/>
      </c>
      <c r="Z166" s="393" t="str">
        <f>IF(O166="","",VLOOKUP(C166,$D$20:$P$165,13,FALSE))</f>
        <v/>
      </c>
      <c r="AA166" s="396">
        <f t="shared" si="51"/>
        <v>0</v>
      </c>
      <c r="AB166" s="396">
        <f t="shared" si="58" ref="AB166:AB175">K166</f>
        <v>0</v>
      </c>
      <c r="AC166" s="395"/>
      <c r="AE166" s="357" t="str">
        <f t="shared" si="54"/>
        <v/>
      </c>
      <c r="AF166" s="426">
        <f t="shared" si="41"/>
        <v>0</v>
      </c>
    </row>
    <row r="167" spans="1:32" ht="15" customHeight="1">
      <c r="A167" s="696"/>
      <c r="B167" s="698"/>
      <c r="C167" s="568"/>
      <c r="D167" s="368"/>
      <c r="E167" s="372"/>
      <c r="F167" s="357" t="str">
        <f t="shared" si="53"/>
        <v/>
      </c>
      <c r="G167" s="384"/>
      <c r="H167" s="190" t="str">
        <f>IF(AND(E167="",G167=""),"",SUM(F167:G175))</f>
        <v/>
      </c>
      <c r="I167" s="191"/>
      <c r="J167" s="222"/>
      <c r="K167" s="222"/>
      <c r="L167" s="197" t="str">
        <f>IF(J167="Duplex",VLOOKUP(M167,'Características dos Cabos M Lot'!$C$12:$I$14,7),(IF(J167="Triplex",VLOOKUP(M167,'Características dos Cabos M Lot'!$C$15:$J$20,8),(IF(J167="Quadruplex",VLOOKUP(M167,'Características dos Cabos M Lot'!$C$21:$K$27,9),(IF(J167="13",VLOOKUP(M167,'Características dos Cabos M Lot'!$C$15:$L$20,10),"")))))))</f>
        <v/>
      </c>
      <c r="M167" s="350" t="str">
        <f t="shared" si="55"/>
        <v/>
      </c>
      <c r="N167" s="377"/>
      <c r="O167" s="192" t="str">
        <f t="shared" si="50"/>
        <v/>
      </c>
      <c r="P167" s="192" t="str">
        <f>IF(O167="","",SUM($O$166:O167)+$Z$166)</f>
        <v/>
      </c>
      <c r="Q167" s="192" t="str">
        <f t="shared" si="56"/>
        <v/>
      </c>
      <c r="R167" s="193" t="str">
        <f>IF(J167="Duplex",VLOOKUP(M167,'Características dos Cabos MX CH'!$C$12:$I$14,5),(IF(J167="Triplex",VLOOKUP(M167,'Características dos Cabos MX CH'!$C$15:$J$20,5),(IF(J167="Quadruplex",VLOOKUP(M167,'Características dos Cabos MX CH'!$C$21:$K$27,5),(IF(J167="13",VLOOKUP(M167,'Características dos Cabos MX CH'!$C$15:$L$20,5),"")))))))</f>
        <v/>
      </c>
      <c r="S167" s="193" t="str">
        <f>IF(J167="Duplex",VLOOKUP(M167,'Características dos Cabos MX CH'!$C$12:$I$14,6),(IF(J167="Triplex",VLOOKUP(M167,'Características dos Cabos MX CH'!$C$15:$J$20,6),(IF(J167="Quadruplex",VLOOKUP(M167,'Características dos Cabos MX CH'!$C$21:$K$27,6),(IF(J167="13",VLOOKUP(M167,'Características dos Cabos MX CH'!$C$15:$L$20,6),"")))))))</f>
        <v/>
      </c>
      <c r="T167" s="194" t="str">
        <f t="shared" si="44"/>
        <v/>
      </c>
      <c r="U167" s="447" t="str">
        <f>IF(J167="Duplex",VLOOKUP(M167,'Características dos Cabos MX CH'!$C$12:$I$14,2),(IF(J167="Triplex",VLOOKUP(M167,'Características dos Cabos MX CH'!$C$15:$J$20,2),(IF(J167="Quadruplex",VLOOKUP(M167,'Características dos Cabos MX CH'!$C$21:$K$27,2),(IF(J167="13",VLOOKUP(M167,'Características dos Cabos MX CH'!$C$15:$L$20,2),"")))))))</f>
        <v/>
      </c>
      <c r="V167" s="193" t="str">
        <f>IF(J167="Duplex",VLOOKUP(M167,'Características dos Cabos MX CH'!$C$12:$I$14,3),(IF(J167="Triplex",VLOOKUP(M167,'Características dos Cabos MX CH'!$C$15:$J$20,3),(IF(J167="Quadruplex",VLOOKUP(M167,'Características dos Cabos MX CH'!$C$21:$K$27,3),(IF(J167="13",VLOOKUP(M167,'Características dos Cabos MX CH'!$C$15:$L$20,3),"")))))))</f>
        <v/>
      </c>
      <c r="W167" s="195" t="str">
        <f t="shared" si="45"/>
        <v/>
      </c>
      <c r="X167" s="195" t="str">
        <f t="shared" si="46"/>
        <v/>
      </c>
      <c r="Y167" s="196" t="str">
        <f t="shared" si="47"/>
        <v/>
      </c>
      <c r="AA167" s="396">
        <f t="shared" si="51"/>
        <v>0</v>
      </c>
      <c r="AB167" s="396">
        <f t="shared" si="58"/>
        <v>0</v>
      </c>
      <c r="AC167" s="395"/>
      <c r="AE167" s="357" t="str">
        <f t="shared" si="54"/>
        <v/>
      </c>
      <c r="AF167" s="426">
        <f t="shared" si="41"/>
        <v>0</v>
      </c>
    </row>
    <row r="168" spans="1:32" ht="15" customHeight="1">
      <c r="A168" s="696"/>
      <c r="B168" s="698"/>
      <c r="C168" s="568"/>
      <c r="D168" s="368"/>
      <c r="E168" s="372"/>
      <c r="F168" s="357" t="str">
        <f t="shared" si="53"/>
        <v/>
      </c>
      <c r="G168" s="384"/>
      <c r="H168" s="190" t="str">
        <f>IF(AND(E168="",G168=""),"",SUM(F168:G175))</f>
        <v/>
      </c>
      <c r="I168" s="191"/>
      <c r="J168" s="222"/>
      <c r="K168" s="222"/>
      <c r="L168" s="197" t="str">
        <f>IF(J168="Duplex",VLOOKUP(M168,'Características dos Cabos M Lot'!$C$12:$I$14,7),(IF(J168="Triplex",VLOOKUP(M168,'Características dos Cabos M Lot'!$C$15:$J$20,8),(IF(J168="Quadruplex",VLOOKUP(M168,'Características dos Cabos M Lot'!$C$21:$K$27,9),(IF(J168="13",VLOOKUP(M168,'Características dos Cabos M Lot'!$C$15:$L$20,10),"")))))))</f>
        <v/>
      </c>
      <c r="M168" s="350" t="str">
        <f t="shared" si="55"/>
        <v/>
      </c>
      <c r="N168" s="377"/>
      <c r="O168" s="192" t="str">
        <f t="shared" si="50"/>
        <v/>
      </c>
      <c r="P168" s="192" t="str">
        <f>IF(O168="","",SUM($O$166:O168)+$Z$166)</f>
        <v/>
      </c>
      <c r="Q168" s="192" t="str">
        <f t="shared" si="56"/>
        <v/>
      </c>
      <c r="R168" s="193" t="str">
        <f>IF(J168="Duplex",VLOOKUP(M168,'Características dos Cabos MX CH'!$C$12:$I$14,5),(IF(J168="Triplex",VLOOKUP(M168,'Características dos Cabos MX CH'!$C$15:$J$20,5),(IF(J168="Quadruplex",VLOOKUP(M168,'Características dos Cabos MX CH'!$C$21:$K$27,5),(IF(J168="13",VLOOKUP(M168,'Características dos Cabos MX CH'!$C$15:$L$20,5),"")))))))</f>
        <v/>
      </c>
      <c r="S168" s="193" t="str">
        <f>IF(J168="Duplex",VLOOKUP(M168,'Características dos Cabos MX CH'!$C$12:$I$14,6),(IF(J168="Triplex",VLOOKUP(M168,'Características dos Cabos MX CH'!$C$15:$J$20,6),(IF(J168="Quadruplex",VLOOKUP(M168,'Características dos Cabos MX CH'!$C$21:$K$27,6),(IF(J168="13",VLOOKUP(M168,'Características dos Cabos MX CH'!$C$15:$L$20,6),"")))))))</f>
        <v/>
      </c>
      <c r="T168" s="194" t="str">
        <f t="shared" si="44"/>
        <v/>
      </c>
      <c r="U168" s="447" t="str">
        <f>IF(J168="Duplex",VLOOKUP(M168,'Características dos Cabos MX CH'!$C$12:$I$14,2),(IF(J168="Triplex",VLOOKUP(M168,'Características dos Cabos MX CH'!$C$15:$J$20,2),(IF(J168="Quadruplex",VLOOKUP(M168,'Características dos Cabos MX CH'!$C$21:$K$27,2),(IF(J168="13",VLOOKUP(M168,'Características dos Cabos MX CH'!$C$15:$L$20,2),"")))))))</f>
        <v/>
      </c>
      <c r="V168" s="193" t="str">
        <f>IF(J168="Duplex",VLOOKUP(M168,'Características dos Cabos MX CH'!$C$12:$I$14,3),(IF(J168="Triplex",VLOOKUP(M168,'Características dos Cabos MX CH'!$C$15:$J$20,3),(IF(J168="Quadruplex",VLOOKUP(M168,'Características dos Cabos MX CH'!$C$21:$K$27,3),(IF(J168="13",VLOOKUP(M168,'Características dos Cabos MX CH'!$C$15:$L$20,3),"")))))))</f>
        <v/>
      </c>
      <c r="W168" s="195" t="str">
        <f t="shared" si="45"/>
        <v/>
      </c>
      <c r="X168" s="195" t="str">
        <f t="shared" si="46"/>
        <v/>
      </c>
      <c r="Y168" s="196" t="str">
        <f t="shared" si="47"/>
        <v/>
      </c>
      <c r="AA168" s="396">
        <f t="shared" si="51"/>
        <v>0</v>
      </c>
      <c r="AB168" s="396">
        <f t="shared" si="58"/>
        <v>0</v>
      </c>
      <c r="AC168" s="395"/>
      <c r="AE168" s="357" t="str">
        <f t="shared" si="54"/>
        <v/>
      </c>
      <c r="AF168" s="426">
        <f t="shared" si="41"/>
        <v>0</v>
      </c>
    </row>
    <row r="169" spans="1:32" ht="15" customHeight="1">
      <c r="A169" s="696"/>
      <c r="B169" s="698"/>
      <c r="C169" s="568"/>
      <c r="D169" s="368"/>
      <c r="E169" s="372"/>
      <c r="F169" s="357" t="str">
        <f t="shared" si="53"/>
        <v/>
      </c>
      <c r="G169" s="384"/>
      <c r="H169" s="190" t="str">
        <f>IF(AND(E169="",G169=""),"",SUM(F169:G175))</f>
        <v/>
      </c>
      <c r="I169" s="191"/>
      <c r="J169" s="222"/>
      <c r="K169" s="222"/>
      <c r="L169" s="197" t="str">
        <f>IF(J169="Duplex",VLOOKUP(M169,'Características dos Cabos M Lot'!$C$12:$I$14,7),(IF(J169="Triplex",VLOOKUP(M169,'Características dos Cabos M Lot'!$C$15:$J$20,8),(IF(J169="Quadruplex",VLOOKUP(M169,'Características dos Cabos M Lot'!$C$21:$K$27,9),(IF(J169="13",VLOOKUP(M169,'Características dos Cabos M Lot'!$C$15:$L$20,10),"")))))))</f>
        <v/>
      </c>
      <c r="M169" s="350" t="str">
        <f t="shared" si="55"/>
        <v/>
      </c>
      <c r="N169" s="377"/>
      <c r="O169" s="192" t="str">
        <f t="shared" si="50"/>
        <v/>
      </c>
      <c r="P169" s="192" t="str">
        <f>IF(O169="","",SUM($O$166:O169)+$Z$166)</f>
        <v/>
      </c>
      <c r="Q169" s="192" t="str">
        <f t="shared" si="56"/>
        <v/>
      </c>
      <c r="R169" s="193" t="str">
        <f>IF(J169="Duplex",VLOOKUP(M169,'Características dos Cabos MX CH'!$C$12:$I$14,5),(IF(J169="Triplex",VLOOKUP(M169,'Características dos Cabos MX CH'!$C$15:$J$20,5),(IF(J169="Quadruplex",VLOOKUP(M169,'Características dos Cabos MX CH'!$C$21:$K$27,5),(IF(J169="13",VLOOKUP(M169,'Características dos Cabos MX CH'!$C$15:$L$20,5),"")))))))</f>
        <v/>
      </c>
      <c r="S169" s="193" t="str">
        <f>IF(J169="Duplex",VLOOKUP(M169,'Características dos Cabos MX CH'!$C$12:$I$14,6),(IF(J169="Triplex",VLOOKUP(M169,'Características dos Cabos MX CH'!$C$15:$J$20,6),(IF(J169="Quadruplex",VLOOKUP(M169,'Características dos Cabos MX CH'!$C$21:$K$27,6),(IF(J169="13",VLOOKUP(M169,'Características dos Cabos MX CH'!$C$15:$L$20,6),"")))))))</f>
        <v/>
      </c>
      <c r="T169" s="194" t="str">
        <f t="shared" si="44"/>
        <v/>
      </c>
      <c r="U169" s="447" t="str">
        <f>IF(J169="Duplex",VLOOKUP(M169,'Características dos Cabos MX CH'!$C$12:$I$14,2),(IF(J169="Triplex",VLOOKUP(M169,'Características dos Cabos MX CH'!$C$15:$J$20,2),(IF(J169="Quadruplex",VLOOKUP(M169,'Características dos Cabos MX CH'!$C$21:$K$27,2),(IF(J169="13",VLOOKUP(M169,'Características dos Cabos MX CH'!$C$15:$L$20,2),"")))))))</f>
        <v/>
      </c>
      <c r="V169" s="193" t="str">
        <f>IF(J169="Duplex",VLOOKUP(M169,'Características dos Cabos MX CH'!$C$12:$I$14,3),(IF(J169="Triplex",VLOOKUP(M169,'Características dos Cabos MX CH'!$C$15:$J$20,3),(IF(J169="Quadruplex",VLOOKUP(M169,'Características dos Cabos MX CH'!$C$21:$K$27,3),(IF(J169="13",VLOOKUP(M169,'Características dos Cabos MX CH'!$C$15:$L$20,3),"")))))))</f>
        <v/>
      </c>
      <c r="W169" s="195" t="str">
        <f t="shared" si="45"/>
        <v/>
      </c>
      <c r="X169" s="195" t="str">
        <f t="shared" si="46"/>
        <v/>
      </c>
      <c r="Y169" s="196" t="str">
        <f t="shared" si="47"/>
        <v/>
      </c>
      <c r="AA169" s="396">
        <f t="shared" si="51"/>
        <v>0</v>
      </c>
      <c r="AB169" s="396">
        <f t="shared" si="58"/>
        <v>0</v>
      </c>
      <c r="AC169" s="395"/>
      <c r="AE169" s="357" t="str">
        <f t="shared" si="54"/>
        <v/>
      </c>
      <c r="AF169" s="426">
        <f t="shared" si="41"/>
        <v>0</v>
      </c>
    </row>
    <row r="170" spans="1:32" ht="15" customHeight="1">
      <c r="A170" s="696"/>
      <c r="B170" s="698"/>
      <c r="C170" s="568"/>
      <c r="D170" s="368"/>
      <c r="E170" s="372"/>
      <c r="F170" s="357" t="str">
        <f t="shared" si="53"/>
        <v/>
      </c>
      <c r="G170" s="384"/>
      <c r="H170" s="190" t="str">
        <f>IF(AND(E170="",G170=""),"",SUM(F170:G175))</f>
        <v/>
      </c>
      <c r="I170" s="191"/>
      <c r="J170" s="222"/>
      <c r="K170" s="222"/>
      <c r="L170" s="197" t="str">
        <f>IF(J170="Duplex",VLOOKUP(M170,'Características dos Cabos M Lot'!$C$12:$I$14,7),(IF(J170="Triplex",VLOOKUP(M170,'Características dos Cabos M Lot'!$C$15:$J$20,8),(IF(J170="Quadruplex",VLOOKUP(M170,'Características dos Cabos M Lot'!$C$21:$K$27,9),(IF(J170="13",VLOOKUP(M170,'Características dos Cabos M Lot'!$C$15:$L$20,10),"")))))))</f>
        <v/>
      </c>
      <c r="M170" s="350" t="str">
        <f t="shared" si="55"/>
        <v/>
      </c>
      <c r="N170" s="377"/>
      <c r="O170" s="192" t="str">
        <f t="shared" si="50"/>
        <v/>
      </c>
      <c r="P170" s="192" t="str">
        <f>IF(O170="","",SUM($O$166:O170)+$Z$166)</f>
        <v/>
      </c>
      <c r="Q170" s="192" t="str">
        <f t="shared" si="56"/>
        <v/>
      </c>
      <c r="R170" s="193" t="str">
        <f>IF(J170="Duplex",VLOOKUP(M170,'Características dos Cabos MX CH'!$C$12:$I$14,5),(IF(J170="Triplex",VLOOKUP(M170,'Características dos Cabos MX CH'!$C$15:$J$20,5),(IF(J170="Quadruplex",VLOOKUP(M170,'Características dos Cabos MX CH'!$C$21:$K$27,5),(IF(J170="13",VLOOKUP(M170,'Características dos Cabos MX CH'!$C$15:$L$20,5),"")))))))</f>
        <v/>
      </c>
      <c r="S170" s="193" t="str">
        <f>IF(J170="Duplex",VLOOKUP(M170,'Características dos Cabos MX CH'!$C$12:$I$14,6),(IF(J170="Triplex",VLOOKUP(M170,'Características dos Cabos MX CH'!$C$15:$J$20,6),(IF(J170="Quadruplex",VLOOKUP(M170,'Características dos Cabos MX CH'!$C$21:$K$27,6),(IF(J170="13",VLOOKUP(M170,'Características dos Cabos MX CH'!$C$15:$L$20,6),"")))))))</f>
        <v/>
      </c>
      <c r="T170" s="194" t="str">
        <f t="shared" si="44"/>
        <v/>
      </c>
      <c r="U170" s="447" t="str">
        <f>IF(J170="Duplex",VLOOKUP(M170,'Características dos Cabos MX CH'!$C$12:$I$14,2),(IF(J170="Triplex",VLOOKUP(M170,'Características dos Cabos MX CH'!$C$15:$J$20,2),(IF(J170="Quadruplex",VLOOKUP(M170,'Características dos Cabos MX CH'!$C$21:$K$27,2),(IF(J170="13",VLOOKUP(M170,'Características dos Cabos MX CH'!$C$15:$L$20,2),"")))))))</f>
        <v/>
      </c>
      <c r="V170" s="193" t="str">
        <f>IF(J170="Duplex",VLOOKUP(M170,'Características dos Cabos MX CH'!$C$12:$I$14,3),(IF(J170="Triplex",VLOOKUP(M170,'Características dos Cabos MX CH'!$C$15:$J$20,3),(IF(J170="Quadruplex",VLOOKUP(M170,'Características dos Cabos MX CH'!$C$21:$K$27,3),(IF(J170="13",VLOOKUP(M170,'Características dos Cabos MX CH'!$C$15:$L$20,3),"")))))))</f>
        <v/>
      </c>
      <c r="W170" s="195" t="str">
        <f t="shared" si="45"/>
        <v/>
      </c>
      <c r="X170" s="195" t="str">
        <f t="shared" si="46"/>
        <v/>
      </c>
      <c r="Y170" s="196" t="str">
        <f t="shared" si="47"/>
        <v/>
      </c>
      <c r="AA170" s="396">
        <f t="shared" si="51"/>
        <v>0</v>
      </c>
      <c r="AB170" s="396">
        <f t="shared" si="58"/>
        <v>0</v>
      </c>
      <c r="AC170" s="395"/>
      <c r="AE170" s="357" t="str">
        <f t="shared" si="54"/>
        <v/>
      </c>
      <c r="AF170" s="426">
        <f t="shared" si="41"/>
        <v>0</v>
      </c>
    </row>
    <row r="171" spans="1:32" ht="15" customHeight="1">
      <c r="A171" s="696"/>
      <c r="B171" s="698"/>
      <c r="C171" s="568"/>
      <c r="D171" s="368"/>
      <c r="E171" s="372"/>
      <c r="F171" s="357" t="str">
        <f t="shared" si="53"/>
        <v/>
      </c>
      <c r="G171" s="384"/>
      <c r="H171" s="190" t="str">
        <f>IF(AND(E171="",G171=""),"",SUM(F171:G175))</f>
        <v/>
      </c>
      <c r="I171" s="191"/>
      <c r="J171" s="222"/>
      <c r="K171" s="222"/>
      <c r="L171" s="197" t="str">
        <f>IF(J171="Duplex",VLOOKUP(M171,'Características dos Cabos M Lot'!$C$12:$I$14,7),(IF(J171="Triplex",VLOOKUP(M171,'Características dos Cabos M Lot'!$C$15:$J$20,8),(IF(J171="Quadruplex",VLOOKUP(M171,'Características dos Cabos M Lot'!$C$21:$K$27,9),(IF(J171="13",VLOOKUP(M171,'Características dos Cabos M Lot'!$C$15:$L$20,10),"")))))))</f>
        <v/>
      </c>
      <c r="M171" s="350" t="str">
        <f t="shared" si="55"/>
        <v/>
      </c>
      <c r="N171" s="377"/>
      <c r="O171" s="192" t="str">
        <f t="shared" si="50"/>
        <v/>
      </c>
      <c r="P171" s="192" t="str">
        <f>IF(O171="","",SUM($O$166:O171)+$Z$166)</f>
        <v/>
      </c>
      <c r="Q171" s="192" t="str">
        <f t="shared" si="56"/>
        <v/>
      </c>
      <c r="R171" s="193" t="str">
        <f>IF(J171="Duplex",VLOOKUP(M171,'Características dos Cabos MX CH'!$C$12:$I$14,5),(IF(J171="Triplex",VLOOKUP(M171,'Características dos Cabos MX CH'!$C$15:$J$20,5),(IF(J171="Quadruplex",VLOOKUP(M171,'Características dos Cabos MX CH'!$C$21:$K$27,5),(IF(J171="13",VLOOKUP(M171,'Características dos Cabos MX CH'!$C$15:$L$20,5),"")))))))</f>
        <v/>
      </c>
      <c r="S171" s="193" t="str">
        <f>IF(J171="Duplex",VLOOKUP(M171,'Características dos Cabos MX CH'!$C$12:$I$14,6),(IF(J171="Triplex",VLOOKUP(M171,'Características dos Cabos MX CH'!$C$15:$J$20,6),(IF(J171="Quadruplex",VLOOKUP(M171,'Características dos Cabos MX CH'!$C$21:$K$27,6),(IF(J171="13",VLOOKUP(M171,'Características dos Cabos MX CH'!$C$15:$L$20,6),"")))))))</f>
        <v/>
      </c>
      <c r="T171" s="194" t="str">
        <f t="shared" si="44"/>
        <v/>
      </c>
      <c r="U171" s="447" t="str">
        <f>IF(J171="Duplex",VLOOKUP(M171,'Características dos Cabos MX CH'!$C$12:$I$14,2),(IF(J171="Triplex",VLOOKUP(M171,'Características dos Cabos MX CH'!$C$15:$J$20,2),(IF(J171="Quadruplex",VLOOKUP(M171,'Características dos Cabos MX CH'!$C$21:$K$27,2),(IF(J171="13",VLOOKUP(M171,'Características dos Cabos MX CH'!$C$15:$L$20,2),"")))))))</f>
        <v/>
      </c>
      <c r="V171" s="193" t="str">
        <f>IF(J171="Duplex",VLOOKUP(M171,'Características dos Cabos MX CH'!$C$12:$I$14,3),(IF(J171="Triplex",VLOOKUP(M171,'Características dos Cabos MX CH'!$C$15:$J$20,3),(IF(J171="Quadruplex",VLOOKUP(M171,'Características dos Cabos MX CH'!$C$21:$K$27,3),(IF(J171="13",VLOOKUP(M171,'Características dos Cabos MX CH'!$C$15:$L$20,3),"")))))))</f>
        <v/>
      </c>
      <c r="W171" s="195" t="str">
        <f t="shared" si="45"/>
        <v/>
      </c>
      <c r="X171" s="195" t="str">
        <f t="shared" si="46"/>
        <v/>
      </c>
      <c r="Y171" s="196" t="str">
        <f t="shared" si="47"/>
        <v/>
      </c>
      <c r="AA171" s="396">
        <f t="shared" si="51"/>
        <v>0</v>
      </c>
      <c r="AB171" s="396">
        <f t="shared" si="58"/>
        <v>0</v>
      </c>
      <c r="AC171" s="395"/>
      <c r="AE171" s="357" t="str">
        <f t="shared" si="54"/>
        <v/>
      </c>
      <c r="AF171" s="426">
        <f t="shared" si="41"/>
        <v>0</v>
      </c>
    </row>
    <row r="172" spans="1:32" ht="15" customHeight="1">
      <c r="A172" s="696"/>
      <c r="B172" s="698"/>
      <c r="C172" s="568"/>
      <c r="D172" s="368"/>
      <c r="E172" s="372"/>
      <c r="F172" s="357" t="str">
        <f t="shared" si="53"/>
        <v/>
      </c>
      <c r="G172" s="384"/>
      <c r="H172" s="190" t="str">
        <f>IF(AND(E172="",G172=""),"",SUM(F172:G175))</f>
        <v/>
      </c>
      <c r="I172" s="191"/>
      <c r="J172" s="222"/>
      <c r="K172" s="222"/>
      <c r="L172" s="197" t="str">
        <f>IF(J172="Duplex",VLOOKUP(M172,'Características dos Cabos M Lot'!$C$12:$I$14,7),(IF(J172="Triplex",VLOOKUP(M172,'Características dos Cabos M Lot'!$C$15:$J$20,8),(IF(J172="Quadruplex",VLOOKUP(M172,'Características dos Cabos M Lot'!$C$21:$K$27,9),(IF(J172="13",VLOOKUP(M172,'Características dos Cabos M Lot'!$C$15:$L$20,10),"")))))))</f>
        <v/>
      </c>
      <c r="M172" s="350" t="str">
        <f t="shared" si="55"/>
        <v/>
      </c>
      <c r="N172" s="377"/>
      <c r="O172" s="192" t="str">
        <f t="shared" si="50"/>
        <v/>
      </c>
      <c r="P172" s="192" t="str">
        <f>IF(O172="","",SUM($O$166:O172)+$Z$166)</f>
        <v/>
      </c>
      <c r="Q172" s="192" t="str">
        <f t="shared" si="56"/>
        <v/>
      </c>
      <c r="R172" s="193" t="str">
        <f>IF(J172="Duplex",VLOOKUP(M172,'Características dos Cabos MX CH'!$C$12:$I$14,5),(IF(J172="Triplex",VLOOKUP(M172,'Características dos Cabos MX CH'!$C$15:$J$20,5),(IF(J172="Quadruplex",VLOOKUP(M172,'Características dos Cabos MX CH'!$C$21:$K$27,5),(IF(J172="13",VLOOKUP(M172,'Características dos Cabos MX CH'!$C$15:$L$20,5),"")))))))</f>
        <v/>
      </c>
      <c r="S172" s="193" t="str">
        <f>IF(J172="Duplex",VLOOKUP(M172,'Características dos Cabos MX CH'!$C$12:$I$14,6),(IF(J172="Triplex",VLOOKUP(M172,'Características dos Cabos MX CH'!$C$15:$J$20,6),(IF(J172="Quadruplex",VLOOKUP(M172,'Características dos Cabos MX CH'!$C$21:$K$27,6),(IF(J172="13",VLOOKUP(M172,'Características dos Cabos MX CH'!$C$15:$L$20,6),"")))))))</f>
        <v/>
      </c>
      <c r="T172" s="194" t="str">
        <f t="shared" si="44"/>
        <v/>
      </c>
      <c r="U172" s="447" t="str">
        <f>IF(J172="Duplex",VLOOKUP(M172,'Características dos Cabos MX CH'!$C$12:$I$14,2),(IF(J172="Triplex",VLOOKUP(M172,'Características dos Cabos MX CH'!$C$15:$J$20,2),(IF(J172="Quadruplex",VLOOKUP(M172,'Características dos Cabos MX CH'!$C$21:$K$27,2),(IF(J172="13",VLOOKUP(M172,'Características dos Cabos MX CH'!$C$15:$L$20,2),"")))))))</f>
        <v/>
      </c>
      <c r="V172" s="193" t="str">
        <f>IF(J172="Duplex",VLOOKUP(M172,'Características dos Cabos MX CH'!$C$12:$I$14,3),(IF(J172="Triplex",VLOOKUP(M172,'Características dos Cabos MX CH'!$C$15:$J$20,3),(IF(J172="Quadruplex",VLOOKUP(M172,'Características dos Cabos MX CH'!$C$21:$K$27,3),(IF(J172="13",VLOOKUP(M172,'Características dos Cabos MX CH'!$C$15:$L$20,3),"")))))))</f>
        <v/>
      </c>
      <c r="W172" s="195" t="str">
        <f t="shared" si="45"/>
        <v/>
      </c>
      <c r="X172" s="195" t="str">
        <f t="shared" si="46"/>
        <v/>
      </c>
      <c r="Y172" s="196" t="str">
        <f t="shared" si="47"/>
        <v/>
      </c>
      <c r="AA172" s="396">
        <f t="shared" si="51"/>
        <v>0</v>
      </c>
      <c r="AB172" s="396">
        <f t="shared" si="58"/>
        <v>0</v>
      </c>
      <c r="AC172" s="395"/>
      <c r="AE172" s="357" t="str">
        <f t="shared" si="54"/>
        <v/>
      </c>
      <c r="AF172" s="426">
        <f t="shared" si="41"/>
        <v>0</v>
      </c>
    </row>
    <row r="173" spans="1:32" ht="15" customHeight="1">
      <c r="A173" s="696"/>
      <c r="B173" s="698"/>
      <c r="C173" s="568"/>
      <c r="D173" s="368"/>
      <c r="E173" s="372"/>
      <c r="F173" s="357" t="str">
        <f t="shared" si="53"/>
        <v/>
      </c>
      <c r="G173" s="384"/>
      <c r="H173" s="190" t="str">
        <f>IF(AND(E173="",G173=""),"",SUM(F173:G175))</f>
        <v/>
      </c>
      <c r="I173" s="191"/>
      <c r="J173" s="222"/>
      <c r="K173" s="222"/>
      <c r="L173" s="197" t="str">
        <f>IF(J173="Duplex",VLOOKUP(M173,'Características dos Cabos M Lot'!$C$12:$I$14,7),(IF(J173="Triplex",VLOOKUP(M173,'Características dos Cabos M Lot'!$C$15:$J$20,8),(IF(J173="Quadruplex",VLOOKUP(M173,'Características dos Cabos M Lot'!$C$21:$K$27,9),(IF(J173="13",VLOOKUP(M173,'Características dos Cabos M Lot'!$C$15:$L$20,10),"")))))))</f>
        <v/>
      </c>
      <c r="M173" s="350" t="str">
        <f t="shared" si="55"/>
        <v/>
      </c>
      <c r="N173" s="377"/>
      <c r="O173" s="192" t="str">
        <f t="shared" si="50"/>
        <v/>
      </c>
      <c r="P173" s="192" t="str">
        <f>IF(O173="","",SUM($O$166:O173)+$Z$166)</f>
        <v/>
      </c>
      <c r="Q173" s="192" t="str">
        <f t="shared" si="56"/>
        <v/>
      </c>
      <c r="R173" s="193" t="str">
        <f>IF(J173="Duplex",VLOOKUP(M173,'Características dos Cabos MX CH'!$C$12:$I$14,5),(IF(J173="Triplex",VLOOKUP(M173,'Características dos Cabos MX CH'!$C$15:$J$20,5),(IF(J173="Quadruplex",VLOOKUP(M173,'Características dos Cabos MX CH'!$C$21:$K$27,5),(IF(J173="13",VLOOKUP(M173,'Características dos Cabos MX CH'!$C$15:$L$20,5),"")))))))</f>
        <v/>
      </c>
      <c r="S173" s="193" t="str">
        <f>IF(J173="Duplex",VLOOKUP(M173,'Características dos Cabos MX CH'!$C$12:$I$14,6),(IF(J173="Triplex",VLOOKUP(M173,'Características dos Cabos MX CH'!$C$15:$J$20,6),(IF(J173="Quadruplex",VLOOKUP(M173,'Características dos Cabos MX CH'!$C$21:$K$27,6),(IF(J173="13",VLOOKUP(M173,'Características dos Cabos MX CH'!$C$15:$L$20,6),"")))))))</f>
        <v/>
      </c>
      <c r="T173" s="194" t="str">
        <f t="shared" si="44"/>
        <v/>
      </c>
      <c r="U173" s="447" t="str">
        <f>IF(J173="Duplex",VLOOKUP(M173,'Características dos Cabos MX CH'!$C$12:$I$14,2),(IF(J173="Triplex",VLOOKUP(M173,'Características dos Cabos MX CH'!$C$15:$J$20,2),(IF(J173="Quadruplex",VLOOKUP(M173,'Características dos Cabos MX CH'!$C$21:$K$27,2),(IF(J173="13",VLOOKUP(M173,'Características dos Cabos MX CH'!$C$15:$L$20,2),"")))))))</f>
        <v/>
      </c>
      <c r="V173" s="193" t="str">
        <f>IF(J173="Duplex",VLOOKUP(M173,'Características dos Cabos MX CH'!$C$12:$I$14,3),(IF(J173="Triplex",VLOOKUP(M173,'Características dos Cabos MX CH'!$C$15:$J$20,3),(IF(J173="Quadruplex",VLOOKUP(M173,'Características dos Cabos MX CH'!$C$21:$K$27,3),(IF(J173="13",VLOOKUP(M173,'Características dos Cabos MX CH'!$C$15:$L$20,3),"")))))))</f>
        <v/>
      </c>
      <c r="W173" s="195" t="str">
        <f t="shared" si="45"/>
        <v/>
      </c>
      <c r="X173" s="195" t="str">
        <f t="shared" si="46"/>
        <v/>
      </c>
      <c r="Y173" s="196" t="str">
        <f t="shared" si="47"/>
        <v/>
      </c>
      <c r="AA173" s="396">
        <f t="shared" si="51"/>
        <v>0</v>
      </c>
      <c r="AB173" s="396">
        <f t="shared" si="58"/>
        <v>0</v>
      </c>
      <c r="AC173" s="395"/>
      <c r="AE173" s="357" t="str">
        <f t="shared" si="54"/>
        <v/>
      </c>
      <c r="AF173" s="426">
        <f t="shared" si="59" ref="AF173:AF195">G173</f>
        <v>0</v>
      </c>
    </row>
    <row r="174" spans="1:32" ht="15" customHeight="1">
      <c r="A174" s="696"/>
      <c r="B174" s="698"/>
      <c r="C174" s="568"/>
      <c r="D174" s="368"/>
      <c r="E174" s="372"/>
      <c r="F174" s="357" t="str">
        <f t="shared" si="53"/>
        <v/>
      </c>
      <c r="G174" s="384"/>
      <c r="H174" s="190" t="str">
        <f>IF(AND(E174="",G174=""),"",SUM(F174:G175))</f>
        <v/>
      </c>
      <c r="I174" s="191"/>
      <c r="J174" s="222"/>
      <c r="K174" s="222"/>
      <c r="L174" s="197" t="str">
        <f>IF(J174="Duplex",VLOOKUP(M174,'Características dos Cabos M Lot'!$C$12:$I$14,7),(IF(J174="Triplex",VLOOKUP(M174,'Características dos Cabos M Lot'!$C$15:$J$20,8),(IF(J174="Quadruplex",VLOOKUP(M174,'Características dos Cabos M Lot'!$C$21:$K$27,9),(IF(J174="13",VLOOKUP(M174,'Características dos Cabos M Lot'!$C$15:$L$20,10),"")))))))</f>
        <v/>
      </c>
      <c r="M174" s="350" t="str">
        <f t="shared" si="55"/>
        <v/>
      </c>
      <c r="N174" s="377"/>
      <c r="O174" s="192" t="str">
        <f t="shared" si="60" ref="O174:O195">IF(OR(N174="",L174="",H174=""),"",N174*L174*H174)</f>
        <v/>
      </c>
      <c r="P174" s="192" t="str">
        <f>IF(O174="","",SUM($O$166:O174)+$Z$166)</f>
        <v/>
      </c>
      <c r="Q174" s="192" t="str">
        <f t="shared" si="56"/>
        <v/>
      </c>
      <c r="R174" s="193" t="str">
        <f>IF(J174="Duplex",VLOOKUP(M174,'Características dos Cabos MX CH'!$C$12:$I$14,5),(IF(J174="Triplex",VLOOKUP(M174,'Características dos Cabos MX CH'!$C$15:$J$20,5),(IF(J174="Quadruplex",VLOOKUP(M174,'Características dos Cabos MX CH'!$C$21:$K$27,5),(IF(J174="13",VLOOKUP(M174,'Características dos Cabos MX CH'!$C$15:$L$20,5),"")))))))</f>
        <v/>
      </c>
      <c r="S174" s="193" t="str">
        <f>IF(J174="Duplex",VLOOKUP(M174,'Características dos Cabos MX CH'!$C$12:$I$14,6),(IF(J174="Triplex",VLOOKUP(M174,'Características dos Cabos MX CH'!$C$15:$J$20,6),(IF(J174="Quadruplex",VLOOKUP(M174,'Características dos Cabos MX CH'!$C$21:$K$27,6),(IF(J174="13",VLOOKUP(M174,'Características dos Cabos MX CH'!$C$15:$L$20,6),"")))))))</f>
        <v/>
      </c>
      <c r="T174" s="194" t="str">
        <f t="shared" si="44"/>
        <v/>
      </c>
      <c r="U174" s="447" t="str">
        <f>IF(J174="Duplex",VLOOKUP(M174,'Características dos Cabos MX CH'!$C$12:$I$14,2),(IF(J174="Triplex",VLOOKUP(M174,'Características dos Cabos MX CH'!$C$15:$J$20,2),(IF(J174="Quadruplex",VLOOKUP(M174,'Características dos Cabos MX CH'!$C$21:$K$27,2),(IF(J174="13",VLOOKUP(M174,'Características dos Cabos MX CH'!$C$15:$L$20,2),"")))))))</f>
        <v/>
      </c>
      <c r="V174" s="193" t="str">
        <f>IF(J174="Duplex",VLOOKUP(M174,'Características dos Cabos MX CH'!$C$12:$I$14,3),(IF(J174="Triplex",VLOOKUP(M174,'Características dos Cabos MX CH'!$C$15:$J$20,3),(IF(J174="Quadruplex",VLOOKUP(M174,'Características dos Cabos MX CH'!$C$21:$K$27,3),(IF(J174="13",VLOOKUP(M174,'Características dos Cabos MX CH'!$C$15:$L$20,3),"")))))))</f>
        <v/>
      </c>
      <c r="W174" s="195" t="str">
        <f t="shared" si="45"/>
        <v/>
      </c>
      <c r="X174" s="195" t="str">
        <f t="shared" si="46"/>
        <v/>
      </c>
      <c r="Y174" s="196" t="str">
        <f t="shared" si="47"/>
        <v/>
      </c>
      <c r="AA174" s="396">
        <f t="shared" si="61" ref="AA174:AA195">D174</f>
        <v>0</v>
      </c>
      <c r="AB174" s="396">
        <f t="shared" si="58"/>
        <v>0</v>
      </c>
      <c r="AC174" s="395"/>
      <c r="AE174" s="357" t="str">
        <f t="shared" si="54"/>
        <v/>
      </c>
      <c r="AF174" s="426">
        <f t="shared" si="59"/>
        <v>0</v>
      </c>
    </row>
    <row r="175" spans="1:32" ht="15" customHeight="1" thickBot="1">
      <c r="A175" s="696"/>
      <c r="B175" s="699"/>
      <c r="C175" s="570"/>
      <c r="D175" s="370"/>
      <c r="E175" s="369"/>
      <c r="F175" s="461" t="str">
        <f t="shared" si="53"/>
        <v/>
      </c>
      <c r="G175" s="385"/>
      <c r="H175" s="200" t="str">
        <f>IF(AND(E175="",G175=""),"",SUM(F175:G175))</f>
        <v/>
      </c>
      <c r="I175" s="201"/>
      <c r="J175" s="223"/>
      <c r="K175" s="223"/>
      <c r="L175" s="202" t="str">
        <f>IF(J175="Duplex",VLOOKUP(M175,'Características dos Cabos M Lot'!$C$12:$I$14,7),(IF(J175="Triplex",VLOOKUP(M175,'Características dos Cabos M Lot'!$C$15:$J$20,8),(IF(J175="Quadruplex",VLOOKUP(M175,'Características dos Cabos M Lot'!$C$21:$K$27,9),(IF(J175="13",VLOOKUP(M175,'Características dos Cabos M Lot'!$C$15:$L$20,10),"")))))))</f>
        <v/>
      </c>
      <c r="M175" s="353" t="str">
        <f t="shared" si="55"/>
        <v/>
      </c>
      <c r="N175" s="378"/>
      <c r="O175" s="203" t="str">
        <f t="shared" si="60"/>
        <v/>
      </c>
      <c r="P175" s="192" t="str">
        <f>IF(O175="","",SUM($O$166:O175)+$Z$166)</f>
        <v/>
      </c>
      <c r="Q175" s="203" t="str">
        <f t="shared" si="56"/>
        <v/>
      </c>
      <c r="R175" s="204" t="str">
        <f>IF(J175="Duplex",VLOOKUP(M175,'Características dos Cabos MX CH'!$C$12:$I$14,5),(IF(J175="Triplex",VLOOKUP(M175,'Características dos Cabos MX CH'!$C$15:$J$20,5),(IF(J175="Quadruplex",VLOOKUP(M175,'Características dos Cabos MX CH'!$C$21:$K$27,5),(IF(J175="13",VLOOKUP(M175,'Características dos Cabos MX CH'!$C$15:$L$20,5),"")))))))</f>
        <v/>
      </c>
      <c r="S175" s="204" t="str">
        <f>IF(J175="Duplex",VLOOKUP(M175,'Características dos Cabos MX CH'!$C$12:$I$14,6),(IF(J175="Triplex",VLOOKUP(M175,'Características dos Cabos MX CH'!$C$15:$J$20,6),(IF(J175="Quadruplex",VLOOKUP(M175,'Características dos Cabos MX CH'!$C$21:$K$27,6),(IF(J175="13",VLOOKUP(M175,'Características dos Cabos MX CH'!$C$15:$L$20,6),"")))))))</f>
        <v/>
      </c>
      <c r="T175" s="205" t="str">
        <f t="shared" si="62" ref="T175:T195">IF(OR(Q175="",R175="",S175=""),"",IF(OR($L$11="PE",$L$11="pe"),Q175/R175,IF(OR($L$11="XLPE",$L$11="xlpe"),Q175/S175,"")))</f>
        <v/>
      </c>
      <c r="U175" s="448" t="str">
        <f>IF(J175="Duplex",VLOOKUP(M175,'Características dos Cabos MX CH'!$C$12:$I$14,2),(IF(J175="Triplex",VLOOKUP(M175,'Características dos Cabos MX CH'!$C$15:$J$20,2),(IF(J175="Quadruplex",VLOOKUP(M175,'Características dos Cabos MX CH'!$C$21:$K$27,2),(IF(J175="13",VLOOKUP(M175,'Características dos Cabos MX CH'!$C$15:$L$20,2),"")))))))</f>
        <v/>
      </c>
      <c r="V175" s="204" t="str">
        <f>IF(J175="Duplex",VLOOKUP(M175,'Características dos Cabos MX CH'!$C$12:$I$14,3),(IF(J175="Triplex",VLOOKUP(M175,'Características dos Cabos MX CH'!$C$15:$J$20,3),(IF(J175="Quadruplex",VLOOKUP(M175,'Características dos Cabos MX CH'!$C$21:$K$27,3),(IF(J175="13",VLOOKUP(M175,'Características dos Cabos MX CH'!$C$15:$L$20,3),"")))))))</f>
        <v/>
      </c>
      <c r="W175" s="206" t="str">
        <f t="shared" si="63" ref="W175:W195">IF(OR(O175="",$G$15="",H175="",N175=""),"",IF(J175="Quadruplex",3*$L$13*U175*O175/1000*R175^2*8.76,IF(J175="Triplex",2*$L$13*U175*O175/1000*R175^2*8.76,IF(J175="Duplex",$L$13*U175*O175/1000*R175^2*8.76))))</f>
        <v/>
      </c>
      <c r="X175" s="206" t="str">
        <f t="shared" si="64" ref="X175:X195">IF(OR(O175="",$G$15="",H175="",N175=""),"",IF(J175="Quadruplex",3*$L$13*V175*O175/1000*R175^2*8.76,IF(J175="triplex",2*$L$13*V175*O175/1000*R175^2*8.76,IF(J175="Duplex",$L$13*V175*O175/1000*R175^2*8.76))))</f>
        <v/>
      </c>
      <c r="Y175" s="207" t="str">
        <f t="shared" si="65" ref="Y175:Y195">IF(OR(V175="",W175="",X175=""),"",IF($L$11="PE",W175,IF($L$11="XLPE",X175,"")))</f>
        <v/>
      </c>
      <c r="AA175" s="396">
        <f t="shared" si="61"/>
        <v>0</v>
      </c>
      <c r="AB175" s="396">
        <f t="shared" si="58"/>
        <v>0</v>
      </c>
      <c r="AC175" s="395"/>
      <c r="AE175" s="357" t="str">
        <f t="shared" si="54"/>
        <v/>
      </c>
      <c r="AF175" s="426">
        <f t="shared" si="59"/>
        <v>0</v>
      </c>
    </row>
    <row r="176" spans="1:32" ht="15" customHeight="1" thickTop="1">
      <c r="A176" s="696"/>
      <c r="B176" s="700" t="str">
        <f>CONCATENATE("Ramal 14 - Derivando no ponto ",C176)</f>
        <v xml:space="preserve">Ramal 14 - Derivando no ponto </v>
      </c>
      <c r="C176" s="571"/>
      <c r="D176" s="371"/>
      <c r="E176" s="374"/>
      <c r="F176" s="459" t="str">
        <f t="shared" si="53"/>
        <v/>
      </c>
      <c r="G176" s="386"/>
      <c r="H176" s="209" t="str">
        <f>IF(AND(E176="",G176=""),"",SUM(F176:G185))</f>
        <v/>
      </c>
      <c r="I176" s="210"/>
      <c r="J176" s="224"/>
      <c r="K176" s="224"/>
      <c r="L176" s="211" t="str">
        <f>IF(J176="Duplex",VLOOKUP(M176,'Características dos Cabos M Lot'!$C$12:$I$14,7),(IF(J176="Triplex",VLOOKUP(M176,'Características dos Cabos M Lot'!$C$15:$J$20,8),(IF(J176="Quadruplex",VLOOKUP(M176,'Características dos Cabos M Lot'!$C$21:$K$27,9),(IF(J176="13",VLOOKUP(M176,'Características dos Cabos M Lot'!$C$15:$L$20,10),"")))))))</f>
        <v/>
      </c>
      <c r="M176" s="354" t="str">
        <f t="shared" si="55"/>
        <v/>
      </c>
      <c r="N176" s="379"/>
      <c r="O176" s="212" t="str">
        <f t="shared" si="60"/>
        <v/>
      </c>
      <c r="P176" s="217" t="str">
        <f>IF(O176="","",O176+VLOOKUP(C176,$D$20:$Q$175,13,FALSE))</f>
        <v/>
      </c>
      <c r="Q176" s="212" t="str">
        <f t="shared" si="56"/>
        <v/>
      </c>
      <c r="R176" s="213" t="str">
        <f>IF(J176="Duplex",VLOOKUP(M176,'Características dos Cabos MX CH'!$C$12:$I$14,5),(IF(J176="Triplex",VLOOKUP(M176,'Características dos Cabos MX CH'!$C$15:$J$20,5),(IF(J176="Quadruplex",VLOOKUP(M176,'Características dos Cabos MX CH'!$C$21:$K$27,5),(IF(J176="13",VLOOKUP(M176,'Características dos Cabos MX CH'!$C$15:$L$20,5),"")))))))</f>
        <v/>
      </c>
      <c r="S176" s="213" t="str">
        <f>IF(J176="Duplex",VLOOKUP(M176,'Características dos Cabos MX CH'!$C$12:$I$14,6),(IF(J176="Triplex",VLOOKUP(M176,'Características dos Cabos MX CH'!$C$15:$J$20,6),(IF(J176="Quadruplex",VLOOKUP(M176,'Características dos Cabos MX CH'!$C$21:$K$27,6),(IF(J176="13",VLOOKUP(M176,'Características dos Cabos MX CH'!$C$15:$L$20,6),"")))))))</f>
        <v/>
      </c>
      <c r="T176" s="214" t="str">
        <f t="shared" si="62"/>
        <v/>
      </c>
      <c r="U176" s="450" t="str">
        <f>IF(J176="Duplex",VLOOKUP(M176,'Características dos Cabos MX CH'!$C$12:$I$14,2),(IF(J176="Triplex",VLOOKUP(M176,'Características dos Cabos MX CH'!$C$15:$J$20,2),(IF(J176="Quadruplex",VLOOKUP(M176,'Características dos Cabos MX CH'!$C$21:$K$27,2),(IF(J176="13",VLOOKUP(M176,'Características dos Cabos MX CH'!$C$15:$L$20,2),"")))))))</f>
        <v/>
      </c>
      <c r="V176" s="213" t="str">
        <f>IF(J176="Duplex",VLOOKUP(M176,'Características dos Cabos MX CH'!$C$12:$I$14,3),(IF(J176="Triplex",VLOOKUP(M176,'Características dos Cabos MX CH'!$C$15:$J$20,3),(IF(J176="Quadruplex",VLOOKUP(M176,'Características dos Cabos MX CH'!$C$21:$K$27,3),(IF(J176="13",VLOOKUP(M176,'Características dos Cabos MX CH'!$C$15:$L$20,3),"")))))))</f>
        <v/>
      </c>
      <c r="W176" s="215" t="str">
        <f t="shared" si="63"/>
        <v/>
      </c>
      <c r="X176" s="215" t="str">
        <f t="shared" si="64"/>
        <v/>
      </c>
      <c r="Y176" s="216" t="str">
        <f t="shared" si="65"/>
        <v/>
      </c>
      <c r="Z176" s="393" t="str">
        <f>IF(O176="","",VLOOKUP(C176,$D$20:$P$175,13,FALSE))</f>
        <v/>
      </c>
      <c r="AA176" s="396">
        <f t="shared" si="61"/>
        <v>0</v>
      </c>
      <c r="AB176" s="396">
        <f t="shared" si="66" ref="AB176:AB185">K176</f>
        <v>0</v>
      </c>
      <c r="AC176" s="395"/>
      <c r="AE176" s="357" t="str">
        <f t="shared" si="54"/>
        <v/>
      </c>
      <c r="AF176" s="426">
        <f t="shared" si="59"/>
        <v>0</v>
      </c>
    </row>
    <row r="177" spans="1:32" ht="15" customHeight="1">
      <c r="A177" s="696"/>
      <c r="B177" s="698"/>
      <c r="C177" s="568"/>
      <c r="D177" s="368"/>
      <c r="E177" s="372"/>
      <c r="F177" s="357" t="str">
        <f t="shared" si="53"/>
        <v/>
      </c>
      <c r="G177" s="384"/>
      <c r="H177" s="190" t="str">
        <f>IF(AND(E177="",G177=""),"",SUM(F177:G185))</f>
        <v/>
      </c>
      <c r="I177" s="191"/>
      <c r="J177" s="222"/>
      <c r="K177" s="222"/>
      <c r="L177" s="197" t="str">
        <f>IF(J177="Duplex",VLOOKUP(M177,'Características dos Cabos M Lot'!$C$12:$I$14,7),(IF(J177="Triplex",VLOOKUP(M177,'Características dos Cabos M Lot'!$C$15:$J$20,8),(IF(J177="Quadruplex",VLOOKUP(M177,'Características dos Cabos M Lot'!$C$21:$K$27,9),(IF(J177="13",VLOOKUP(M177,'Características dos Cabos M Lot'!$C$15:$L$20,10),"")))))))</f>
        <v/>
      </c>
      <c r="M177" s="350" t="str">
        <f t="shared" si="55"/>
        <v/>
      </c>
      <c r="N177" s="377"/>
      <c r="O177" s="192" t="str">
        <f t="shared" si="60"/>
        <v/>
      </c>
      <c r="P177" s="192" t="str">
        <f>IF(O177="","",SUM($O$176:O177)+$Z$176)</f>
        <v/>
      </c>
      <c r="Q177" s="192" t="str">
        <f t="shared" si="56"/>
        <v/>
      </c>
      <c r="R177" s="193" t="str">
        <f>IF(J177="Duplex",VLOOKUP(M177,'Características dos Cabos MX CH'!$C$12:$I$14,5),(IF(J177="Triplex",VLOOKUP(M177,'Características dos Cabos MX CH'!$C$15:$J$20,5),(IF(J177="Quadruplex",VLOOKUP(M177,'Características dos Cabos MX CH'!$C$21:$K$27,5),(IF(J177="13",VLOOKUP(M177,'Características dos Cabos MX CH'!$C$15:$L$20,5),"")))))))</f>
        <v/>
      </c>
      <c r="S177" s="193" t="str">
        <f>IF(J177="Duplex",VLOOKUP(M177,'Características dos Cabos MX CH'!$C$12:$I$14,6),(IF(J177="Triplex",VLOOKUP(M177,'Características dos Cabos MX CH'!$C$15:$J$20,6),(IF(J177="Quadruplex",VLOOKUP(M177,'Características dos Cabos MX CH'!$C$21:$K$27,6),(IF(J177="13",VLOOKUP(M177,'Características dos Cabos MX CH'!$C$15:$L$20,6),"")))))))</f>
        <v/>
      </c>
      <c r="T177" s="194" t="str">
        <f t="shared" si="62"/>
        <v/>
      </c>
      <c r="U177" s="447" t="str">
        <f>IF(J177="Duplex",VLOOKUP(M177,'Características dos Cabos MX CH'!$C$12:$I$14,2),(IF(J177="Triplex",VLOOKUP(M177,'Características dos Cabos MX CH'!$C$15:$J$20,2),(IF(J177="Quadruplex",VLOOKUP(M177,'Características dos Cabos MX CH'!$C$21:$K$27,2),(IF(J177="13",VLOOKUP(M177,'Características dos Cabos MX CH'!$C$15:$L$20,2),"")))))))</f>
        <v/>
      </c>
      <c r="V177" s="193" t="str">
        <f>IF(J177="Duplex",VLOOKUP(M177,'Características dos Cabos MX CH'!$C$12:$I$14,3),(IF(J177="Triplex",VLOOKUP(M177,'Características dos Cabos MX CH'!$C$15:$J$20,3),(IF(J177="Quadruplex",VLOOKUP(M177,'Características dos Cabos MX CH'!$C$21:$K$27,3),(IF(J177="13",VLOOKUP(M177,'Características dos Cabos MX CH'!$C$15:$L$20,3),"")))))))</f>
        <v/>
      </c>
      <c r="W177" s="195" t="str">
        <f t="shared" si="63"/>
        <v/>
      </c>
      <c r="X177" s="195" t="str">
        <f t="shared" si="64"/>
        <v/>
      </c>
      <c r="Y177" s="196" t="str">
        <f t="shared" si="65"/>
        <v/>
      </c>
      <c r="AA177" s="396">
        <f t="shared" si="61"/>
        <v>0</v>
      </c>
      <c r="AB177" s="396">
        <f t="shared" si="66"/>
        <v>0</v>
      </c>
      <c r="AC177" s="395"/>
      <c r="AE177" s="357" t="str">
        <f t="shared" si="54"/>
        <v/>
      </c>
      <c r="AF177" s="426">
        <f t="shared" si="59"/>
        <v>0</v>
      </c>
    </row>
    <row r="178" spans="1:32" ht="15" customHeight="1">
      <c r="A178" s="696"/>
      <c r="B178" s="698"/>
      <c r="C178" s="568"/>
      <c r="D178" s="368"/>
      <c r="E178" s="372"/>
      <c r="F178" s="357" t="str">
        <f t="shared" si="53"/>
        <v/>
      </c>
      <c r="G178" s="384"/>
      <c r="H178" s="190" t="str">
        <f>IF(AND(E178="",G178=""),"",SUM(F178:G185))</f>
        <v/>
      </c>
      <c r="I178" s="191"/>
      <c r="J178" s="222"/>
      <c r="K178" s="222"/>
      <c r="L178" s="197" t="str">
        <f>IF(J178="Duplex",VLOOKUP(M178,'Características dos Cabos M Lot'!$C$12:$I$14,7),(IF(J178="Triplex",VLOOKUP(M178,'Características dos Cabos M Lot'!$C$15:$J$20,8),(IF(J178="Quadruplex",VLOOKUP(M178,'Características dos Cabos M Lot'!$C$21:$K$27,9),(IF(J178="13",VLOOKUP(M178,'Características dos Cabos M Lot'!$C$15:$L$20,10),"")))))))</f>
        <v/>
      </c>
      <c r="M178" s="350" t="str">
        <f t="shared" si="55"/>
        <v/>
      </c>
      <c r="N178" s="377"/>
      <c r="O178" s="192" t="str">
        <f t="shared" si="60"/>
        <v/>
      </c>
      <c r="P178" s="192" t="str">
        <f>IF(O178="","",SUM($O$176:O178)+$Z$176)</f>
        <v/>
      </c>
      <c r="Q178" s="192" t="str">
        <f t="shared" si="56"/>
        <v/>
      </c>
      <c r="R178" s="193" t="str">
        <f>IF(J178="Duplex",VLOOKUP(M178,'Características dos Cabos MX CH'!$C$12:$I$14,5),(IF(J178="Triplex",VLOOKUP(M178,'Características dos Cabos MX CH'!$C$15:$J$20,5),(IF(J178="Quadruplex",VLOOKUP(M178,'Características dos Cabos MX CH'!$C$21:$K$27,5),(IF(J178="13",VLOOKUP(M178,'Características dos Cabos MX CH'!$C$15:$L$20,5),"")))))))</f>
        <v/>
      </c>
      <c r="S178" s="193" t="str">
        <f>IF(J178="Duplex",VLOOKUP(M178,'Características dos Cabos MX CH'!$C$12:$I$14,6),(IF(J178="Triplex",VLOOKUP(M178,'Características dos Cabos MX CH'!$C$15:$J$20,6),(IF(J178="Quadruplex",VLOOKUP(M178,'Características dos Cabos MX CH'!$C$21:$K$27,6),(IF(J178="13",VLOOKUP(M178,'Características dos Cabos MX CH'!$C$15:$L$20,6),"")))))))</f>
        <v/>
      </c>
      <c r="T178" s="194" t="str">
        <f t="shared" si="62"/>
        <v/>
      </c>
      <c r="U178" s="447" t="str">
        <f>IF(J178="Duplex",VLOOKUP(M178,'Características dos Cabos MX CH'!$C$12:$I$14,2),(IF(J178="Triplex",VLOOKUP(M178,'Características dos Cabos MX CH'!$C$15:$J$20,2),(IF(J178="Quadruplex",VLOOKUP(M178,'Características dos Cabos MX CH'!$C$21:$K$27,2),(IF(J178="13",VLOOKUP(M178,'Características dos Cabos MX CH'!$C$15:$L$20,2),"")))))))</f>
        <v/>
      </c>
      <c r="V178" s="193" t="str">
        <f>IF(J178="Duplex",VLOOKUP(M178,'Características dos Cabos MX CH'!$C$12:$I$14,3),(IF(J178="Triplex",VLOOKUP(M178,'Características dos Cabos MX CH'!$C$15:$J$20,3),(IF(J178="Quadruplex",VLOOKUP(M178,'Características dos Cabos MX CH'!$C$21:$K$27,3),(IF(J178="13",VLOOKUP(M178,'Características dos Cabos MX CH'!$C$15:$L$20,3),"")))))))</f>
        <v/>
      </c>
      <c r="W178" s="195" t="str">
        <f t="shared" si="63"/>
        <v/>
      </c>
      <c r="X178" s="195" t="str">
        <f t="shared" si="64"/>
        <v/>
      </c>
      <c r="Y178" s="196" t="str">
        <f t="shared" si="65"/>
        <v/>
      </c>
      <c r="AA178" s="396">
        <f t="shared" si="61"/>
        <v>0</v>
      </c>
      <c r="AB178" s="396">
        <f t="shared" si="66"/>
        <v>0</v>
      </c>
      <c r="AC178" s="395"/>
      <c r="AE178" s="357" t="str">
        <f t="shared" si="54"/>
        <v/>
      </c>
      <c r="AF178" s="426">
        <f t="shared" si="59"/>
        <v>0</v>
      </c>
    </row>
    <row r="179" spans="1:32" ht="15" customHeight="1">
      <c r="A179" s="696"/>
      <c r="B179" s="698"/>
      <c r="C179" s="568"/>
      <c r="D179" s="368"/>
      <c r="E179" s="372"/>
      <c r="F179" s="357" t="str">
        <f t="shared" si="53"/>
        <v/>
      </c>
      <c r="G179" s="384"/>
      <c r="H179" s="190" t="str">
        <f>IF(AND(E179="",G179=""),"",SUM(F179:G185))</f>
        <v/>
      </c>
      <c r="I179" s="191"/>
      <c r="J179" s="222"/>
      <c r="K179" s="222"/>
      <c r="L179" s="197" t="str">
        <f>IF(J179="Duplex",VLOOKUP(M179,'Características dos Cabos M Lot'!$C$12:$I$14,7),(IF(J179="Triplex",VLOOKUP(M179,'Características dos Cabos M Lot'!$C$15:$J$20,8),(IF(J179="Quadruplex",VLOOKUP(M179,'Características dos Cabos M Lot'!$C$21:$K$27,9),(IF(J179="13",VLOOKUP(M179,'Características dos Cabos M Lot'!$C$15:$L$20,10),"")))))))</f>
        <v/>
      </c>
      <c r="M179" s="350" t="str">
        <f t="shared" si="55"/>
        <v/>
      </c>
      <c r="N179" s="377"/>
      <c r="O179" s="192" t="str">
        <f t="shared" si="60"/>
        <v/>
      </c>
      <c r="P179" s="192" t="str">
        <f>IF(O179="","",SUM($O$176:O179)+$Z$176)</f>
        <v/>
      </c>
      <c r="Q179" s="192" t="str">
        <f t="shared" si="56"/>
        <v/>
      </c>
      <c r="R179" s="193" t="str">
        <f>IF(J179="Duplex",VLOOKUP(M179,'Características dos Cabos MX CH'!$C$12:$I$14,5),(IF(J179="Triplex",VLOOKUP(M179,'Características dos Cabos MX CH'!$C$15:$J$20,5),(IF(J179="Quadruplex",VLOOKUP(M179,'Características dos Cabos MX CH'!$C$21:$K$27,5),(IF(J179="13",VLOOKUP(M179,'Características dos Cabos MX CH'!$C$15:$L$20,5),"")))))))</f>
        <v/>
      </c>
      <c r="S179" s="193" t="str">
        <f>IF(J179="Duplex",VLOOKUP(M179,'Características dos Cabos MX CH'!$C$12:$I$14,6),(IF(J179="Triplex",VLOOKUP(M179,'Características dos Cabos MX CH'!$C$15:$J$20,6),(IF(J179="Quadruplex",VLOOKUP(M179,'Características dos Cabos MX CH'!$C$21:$K$27,6),(IF(J179="13",VLOOKUP(M179,'Características dos Cabos MX CH'!$C$15:$L$20,6),"")))))))</f>
        <v/>
      </c>
      <c r="T179" s="194" t="str">
        <f t="shared" si="62"/>
        <v/>
      </c>
      <c r="U179" s="447" t="str">
        <f>IF(J179="Duplex",VLOOKUP(M179,'Características dos Cabos MX CH'!$C$12:$I$14,2),(IF(J179="Triplex",VLOOKUP(M179,'Características dos Cabos MX CH'!$C$15:$J$20,2),(IF(J179="Quadruplex",VLOOKUP(M179,'Características dos Cabos MX CH'!$C$21:$K$27,2),(IF(J179="13",VLOOKUP(M179,'Características dos Cabos MX CH'!$C$15:$L$20,2),"")))))))</f>
        <v/>
      </c>
      <c r="V179" s="193" t="str">
        <f>IF(J179="Duplex",VLOOKUP(M179,'Características dos Cabos MX CH'!$C$12:$I$14,3),(IF(J179="Triplex",VLOOKUP(M179,'Características dos Cabos MX CH'!$C$15:$J$20,3),(IF(J179="Quadruplex",VLOOKUP(M179,'Características dos Cabos MX CH'!$C$21:$K$27,3),(IF(J179="13",VLOOKUP(M179,'Características dos Cabos MX CH'!$C$15:$L$20,3),"")))))))</f>
        <v/>
      </c>
      <c r="W179" s="195" t="str">
        <f t="shared" si="63"/>
        <v/>
      </c>
      <c r="X179" s="195" t="str">
        <f t="shared" si="64"/>
        <v/>
      </c>
      <c r="Y179" s="196" t="str">
        <f t="shared" si="65"/>
        <v/>
      </c>
      <c r="AA179" s="396">
        <f t="shared" si="61"/>
        <v>0</v>
      </c>
      <c r="AB179" s="396">
        <f t="shared" si="66"/>
        <v>0</v>
      </c>
      <c r="AC179" s="395"/>
      <c r="AE179" s="357" t="str">
        <f t="shared" si="54"/>
        <v/>
      </c>
      <c r="AF179" s="426">
        <f t="shared" si="59"/>
        <v>0</v>
      </c>
    </row>
    <row r="180" spans="1:32" ht="15" customHeight="1">
      <c r="A180" s="696"/>
      <c r="B180" s="698"/>
      <c r="C180" s="568"/>
      <c r="D180" s="368"/>
      <c r="E180" s="372"/>
      <c r="F180" s="357" t="str">
        <f t="shared" si="53"/>
        <v/>
      </c>
      <c r="G180" s="384"/>
      <c r="H180" s="190" t="str">
        <f>IF(AND(E180="",G180=""),"",SUM(F180:G185))</f>
        <v/>
      </c>
      <c r="I180" s="191"/>
      <c r="J180" s="222"/>
      <c r="K180" s="222"/>
      <c r="L180" s="197" t="str">
        <f>IF(J180="Duplex",VLOOKUP(M180,'Características dos Cabos M Lot'!$C$12:$I$14,7),(IF(J180="Triplex",VLOOKUP(M180,'Características dos Cabos M Lot'!$C$15:$J$20,8),(IF(J180="Quadruplex",VLOOKUP(M180,'Características dos Cabos M Lot'!$C$21:$K$27,9),(IF(J180="13",VLOOKUP(M180,'Características dos Cabos M Lot'!$C$15:$L$20,10),"")))))))</f>
        <v/>
      </c>
      <c r="M180" s="350" t="str">
        <f t="shared" si="55"/>
        <v/>
      </c>
      <c r="N180" s="377"/>
      <c r="O180" s="192" t="str">
        <f t="shared" si="60"/>
        <v/>
      </c>
      <c r="P180" s="192" t="str">
        <f>IF(O180="","",SUM($O$176:O180)+$Z$176)</f>
        <v/>
      </c>
      <c r="Q180" s="192" t="str">
        <f t="shared" si="56"/>
        <v/>
      </c>
      <c r="R180" s="193" t="str">
        <f>IF(J180="Duplex",VLOOKUP(M180,'Características dos Cabos MX CH'!$C$12:$I$14,5),(IF(J180="Triplex",VLOOKUP(M180,'Características dos Cabos MX CH'!$C$15:$J$20,5),(IF(J180="Quadruplex",VLOOKUP(M180,'Características dos Cabos MX CH'!$C$21:$K$27,5),(IF(J180="13",VLOOKUP(M180,'Características dos Cabos MX CH'!$C$15:$L$20,5),"")))))))</f>
        <v/>
      </c>
      <c r="S180" s="193" t="str">
        <f>IF(J180="Duplex",VLOOKUP(M180,'Características dos Cabos MX CH'!$C$12:$I$14,6),(IF(J180="Triplex",VLOOKUP(M180,'Características dos Cabos MX CH'!$C$15:$J$20,6),(IF(J180="Quadruplex",VLOOKUP(M180,'Características dos Cabos MX CH'!$C$21:$K$27,6),(IF(J180="13",VLOOKUP(M180,'Características dos Cabos MX CH'!$C$15:$L$20,6),"")))))))</f>
        <v/>
      </c>
      <c r="T180" s="194" t="str">
        <f t="shared" si="62"/>
        <v/>
      </c>
      <c r="U180" s="447" t="str">
        <f>IF(J180="Duplex",VLOOKUP(M180,'Características dos Cabos MX CH'!$C$12:$I$14,2),(IF(J180="Triplex",VLOOKUP(M180,'Características dos Cabos MX CH'!$C$15:$J$20,2),(IF(J180="Quadruplex",VLOOKUP(M180,'Características dos Cabos MX CH'!$C$21:$K$27,2),(IF(J180="13",VLOOKUP(M180,'Características dos Cabos MX CH'!$C$15:$L$20,2),"")))))))</f>
        <v/>
      </c>
      <c r="V180" s="193" t="str">
        <f>IF(J180="Duplex",VLOOKUP(M180,'Características dos Cabos MX CH'!$C$12:$I$14,3),(IF(J180="Triplex",VLOOKUP(M180,'Características dos Cabos MX CH'!$C$15:$J$20,3),(IF(J180="Quadruplex",VLOOKUP(M180,'Características dos Cabos MX CH'!$C$21:$K$27,3),(IF(J180="13",VLOOKUP(M180,'Características dos Cabos MX CH'!$C$15:$L$20,3),"")))))))</f>
        <v/>
      </c>
      <c r="W180" s="195" t="str">
        <f t="shared" si="63"/>
        <v/>
      </c>
      <c r="X180" s="195" t="str">
        <f t="shared" si="64"/>
        <v/>
      </c>
      <c r="Y180" s="196" t="str">
        <f t="shared" si="65"/>
        <v/>
      </c>
      <c r="AA180" s="396">
        <f t="shared" si="61"/>
        <v>0</v>
      </c>
      <c r="AB180" s="396">
        <f t="shared" si="66"/>
        <v>0</v>
      </c>
      <c r="AC180" s="395"/>
      <c r="AE180" s="357" t="str">
        <f t="shared" si="54"/>
        <v/>
      </c>
      <c r="AF180" s="426">
        <f t="shared" si="59"/>
        <v>0</v>
      </c>
    </row>
    <row r="181" spans="1:32" ht="15" customHeight="1">
      <c r="A181" s="696"/>
      <c r="B181" s="698"/>
      <c r="C181" s="568"/>
      <c r="D181" s="368"/>
      <c r="E181" s="372"/>
      <c r="F181" s="357" t="str">
        <f t="shared" si="53"/>
        <v/>
      </c>
      <c r="G181" s="384"/>
      <c r="H181" s="190" t="str">
        <f>IF(AND(E181="",G181=""),"",SUM(F181:G185))</f>
        <v/>
      </c>
      <c r="I181" s="191"/>
      <c r="J181" s="222"/>
      <c r="K181" s="222"/>
      <c r="L181" s="197" t="str">
        <f>IF(J181="Duplex",VLOOKUP(M181,'Características dos Cabos M Lot'!$C$12:$I$14,7),(IF(J181="Triplex",VLOOKUP(M181,'Características dos Cabos M Lot'!$C$15:$J$20,8),(IF(J181="Quadruplex",VLOOKUP(M181,'Características dos Cabos M Lot'!$C$21:$K$27,9),(IF(J181="13",VLOOKUP(M181,'Características dos Cabos M Lot'!$C$15:$L$20,10),"")))))))</f>
        <v/>
      </c>
      <c r="M181" s="350" t="str">
        <f t="shared" si="55"/>
        <v/>
      </c>
      <c r="N181" s="377"/>
      <c r="O181" s="192" t="str">
        <f t="shared" si="60"/>
        <v/>
      </c>
      <c r="P181" s="192" t="str">
        <f>IF(O181="","",SUM($O$176:O181)+$Z$176)</f>
        <v/>
      </c>
      <c r="Q181" s="192" t="str">
        <f t="shared" si="56"/>
        <v/>
      </c>
      <c r="R181" s="193" t="str">
        <f>IF(J181="Duplex",VLOOKUP(M181,'Características dos Cabos MX CH'!$C$12:$I$14,5),(IF(J181="Triplex",VLOOKUP(M181,'Características dos Cabos MX CH'!$C$15:$J$20,5),(IF(J181="Quadruplex",VLOOKUP(M181,'Características dos Cabos MX CH'!$C$21:$K$27,5),(IF(J181="13",VLOOKUP(M181,'Características dos Cabos MX CH'!$C$15:$L$20,5),"")))))))</f>
        <v/>
      </c>
      <c r="S181" s="193" t="str">
        <f>IF(J181="Duplex",VLOOKUP(M181,'Características dos Cabos MX CH'!$C$12:$I$14,6),(IF(J181="Triplex",VLOOKUP(M181,'Características dos Cabos MX CH'!$C$15:$J$20,6),(IF(J181="Quadruplex",VLOOKUP(M181,'Características dos Cabos MX CH'!$C$21:$K$27,6),(IF(J181="13",VLOOKUP(M181,'Características dos Cabos MX CH'!$C$15:$L$20,6),"")))))))</f>
        <v/>
      </c>
      <c r="T181" s="194" t="str">
        <f t="shared" si="62"/>
        <v/>
      </c>
      <c r="U181" s="447" t="str">
        <f>IF(J181="Duplex",VLOOKUP(M181,'Características dos Cabos MX CH'!$C$12:$I$14,2),(IF(J181="Triplex",VLOOKUP(M181,'Características dos Cabos MX CH'!$C$15:$J$20,2),(IF(J181="Quadruplex",VLOOKUP(M181,'Características dos Cabos MX CH'!$C$21:$K$27,2),(IF(J181="13",VLOOKUP(M181,'Características dos Cabos MX CH'!$C$15:$L$20,2),"")))))))</f>
        <v/>
      </c>
      <c r="V181" s="193" t="str">
        <f>IF(J181="Duplex",VLOOKUP(M181,'Características dos Cabos MX CH'!$C$12:$I$14,3),(IF(J181="Triplex",VLOOKUP(M181,'Características dos Cabos MX CH'!$C$15:$J$20,3),(IF(J181="Quadruplex",VLOOKUP(M181,'Características dos Cabos MX CH'!$C$21:$K$27,3),(IF(J181="13",VLOOKUP(M181,'Características dos Cabos MX CH'!$C$15:$L$20,3),"")))))))</f>
        <v/>
      </c>
      <c r="W181" s="195" t="str">
        <f t="shared" si="63"/>
        <v/>
      </c>
      <c r="X181" s="195" t="str">
        <f t="shared" si="64"/>
        <v/>
      </c>
      <c r="Y181" s="196" t="str">
        <f t="shared" si="65"/>
        <v/>
      </c>
      <c r="AA181" s="396">
        <f t="shared" si="61"/>
        <v>0</v>
      </c>
      <c r="AB181" s="396">
        <f t="shared" si="66"/>
        <v>0</v>
      </c>
      <c r="AC181" s="395"/>
      <c r="AE181" s="357" t="str">
        <f t="shared" si="54"/>
        <v/>
      </c>
      <c r="AF181" s="426">
        <f t="shared" si="59"/>
        <v>0</v>
      </c>
    </row>
    <row r="182" spans="1:32" ht="15" customHeight="1">
      <c r="A182" s="696"/>
      <c r="B182" s="698"/>
      <c r="C182" s="568"/>
      <c r="D182" s="368"/>
      <c r="E182" s="372"/>
      <c r="F182" s="357" t="str">
        <f t="shared" si="53"/>
        <v/>
      </c>
      <c r="G182" s="384"/>
      <c r="H182" s="190" t="str">
        <f>IF(AND(E182="",G182=""),"",SUM(F182:G185))</f>
        <v/>
      </c>
      <c r="I182" s="191"/>
      <c r="J182" s="222"/>
      <c r="K182" s="222"/>
      <c r="L182" s="197" t="str">
        <f>IF(J182="Duplex",VLOOKUP(M182,'Características dos Cabos M Lot'!$C$12:$I$14,7),(IF(J182="Triplex",VLOOKUP(M182,'Características dos Cabos M Lot'!$C$15:$J$20,8),(IF(J182="Quadruplex",VLOOKUP(M182,'Características dos Cabos M Lot'!$C$21:$K$27,9),(IF(J182="13",VLOOKUP(M182,'Características dos Cabos M Lot'!$C$15:$L$20,10),"")))))))</f>
        <v/>
      </c>
      <c r="M182" s="350" t="str">
        <f t="shared" si="55"/>
        <v/>
      </c>
      <c r="N182" s="377"/>
      <c r="O182" s="192" t="str">
        <f t="shared" si="60"/>
        <v/>
      </c>
      <c r="P182" s="192" t="str">
        <f>IF(O182="","",SUM($O$176:O182)+$Z$176)</f>
        <v/>
      </c>
      <c r="Q182" s="192" t="str">
        <f t="shared" si="56"/>
        <v/>
      </c>
      <c r="R182" s="193" t="str">
        <f>IF(J182="Duplex",VLOOKUP(M182,'Características dos Cabos MX CH'!$C$12:$I$14,5),(IF(J182="Triplex",VLOOKUP(M182,'Características dos Cabos MX CH'!$C$15:$J$20,5),(IF(J182="Quadruplex",VLOOKUP(M182,'Características dos Cabos MX CH'!$C$21:$K$27,5),(IF(J182="13",VLOOKUP(M182,'Características dos Cabos MX CH'!$C$15:$L$20,5),"")))))))</f>
        <v/>
      </c>
      <c r="S182" s="193" t="str">
        <f>IF(J182="Duplex",VLOOKUP(M182,'Características dos Cabos MX CH'!$C$12:$I$14,6),(IF(J182="Triplex",VLOOKUP(M182,'Características dos Cabos MX CH'!$C$15:$J$20,6),(IF(J182="Quadruplex",VLOOKUP(M182,'Características dos Cabos MX CH'!$C$21:$K$27,6),(IF(J182="13",VLOOKUP(M182,'Características dos Cabos MX CH'!$C$15:$L$20,6),"")))))))</f>
        <v/>
      </c>
      <c r="T182" s="194" t="str">
        <f t="shared" si="62"/>
        <v/>
      </c>
      <c r="U182" s="447" t="str">
        <f>IF(J182="Duplex",VLOOKUP(M182,'Características dos Cabos MX CH'!$C$12:$I$14,2),(IF(J182="Triplex",VLOOKUP(M182,'Características dos Cabos MX CH'!$C$15:$J$20,2),(IF(J182="Quadruplex",VLOOKUP(M182,'Características dos Cabos MX CH'!$C$21:$K$27,2),(IF(J182="13",VLOOKUP(M182,'Características dos Cabos MX CH'!$C$15:$L$20,2),"")))))))</f>
        <v/>
      </c>
      <c r="V182" s="193" t="str">
        <f>IF(J182="Duplex",VLOOKUP(M182,'Características dos Cabos MX CH'!$C$12:$I$14,3),(IF(J182="Triplex",VLOOKUP(M182,'Características dos Cabos MX CH'!$C$15:$J$20,3),(IF(J182="Quadruplex",VLOOKUP(M182,'Características dos Cabos MX CH'!$C$21:$K$27,3),(IF(J182="13",VLOOKUP(M182,'Características dos Cabos MX CH'!$C$15:$L$20,3),"")))))))</f>
        <v/>
      </c>
      <c r="W182" s="195" t="str">
        <f t="shared" si="63"/>
        <v/>
      </c>
      <c r="X182" s="195" t="str">
        <f t="shared" si="64"/>
        <v/>
      </c>
      <c r="Y182" s="196" t="str">
        <f t="shared" si="65"/>
        <v/>
      </c>
      <c r="AA182" s="396">
        <f t="shared" si="61"/>
        <v>0</v>
      </c>
      <c r="AB182" s="396">
        <f t="shared" si="66"/>
        <v>0</v>
      </c>
      <c r="AC182" s="395"/>
      <c r="AE182" s="357" t="str">
        <f t="shared" si="54"/>
        <v/>
      </c>
      <c r="AF182" s="426">
        <f t="shared" si="59"/>
        <v>0</v>
      </c>
    </row>
    <row r="183" spans="1:32" ht="15" customHeight="1">
      <c r="A183" s="696"/>
      <c r="B183" s="698"/>
      <c r="C183" s="568"/>
      <c r="D183" s="368"/>
      <c r="E183" s="372"/>
      <c r="F183" s="357" t="str">
        <f t="shared" si="53"/>
        <v/>
      </c>
      <c r="G183" s="384"/>
      <c r="H183" s="190" t="str">
        <f>IF(AND(E183="",G183=""),"",SUM(F183:G185))</f>
        <v/>
      </c>
      <c r="I183" s="191"/>
      <c r="J183" s="222"/>
      <c r="K183" s="222"/>
      <c r="L183" s="197" t="str">
        <f>IF(J183="Duplex",VLOOKUP(M183,'Características dos Cabos M Lot'!$C$12:$I$14,7),(IF(J183="Triplex",VLOOKUP(M183,'Características dos Cabos M Lot'!$C$15:$J$20,8),(IF(J183="Quadruplex",VLOOKUP(M183,'Características dos Cabos M Lot'!$C$21:$K$27,9),(IF(J183="13",VLOOKUP(M183,'Características dos Cabos M Lot'!$C$15:$L$20,10),"")))))))</f>
        <v/>
      </c>
      <c r="M183" s="350" t="str">
        <f t="shared" si="55"/>
        <v/>
      </c>
      <c r="N183" s="377"/>
      <c r="O183" s="192" t="str">
        <f t="shared" si="60"/>
        <v/>
      </c>
      <c r="P183" s="192" t="str">
        <f>IF(O183="","",SUM($O$176:O183)+$Z$176)</f>
        <v/>
      </c>
      <c r="Q183" s="192" t="str">
        <f t="shared" si="56"/>
        <v/>
      </c>
      <c r="R183" s="193" t="str">
        <f>IF(J183="Duplex",VLOOKUP(M183,'Características dos Cabos MX CH'!$C$12:$I$14,5),(IF(J183="Triplex",VLOOKUP(M183,'Características dos Cabos MX CH'!$C$15:$J$20,5),(IF(J183="Quadruplex",VLOOKUP(M183,'Características dos Cabos MX CH'!$C$21:$K$27,5),(IF(J183="13",VLOOKUP(M183,'Características dos Cabos MX CH'!$C$15:$L$20,5),"")))))))</f>
        <v/>
      </c>
      <c r="S183" s="193" t="str">
        <f>IF(J183="Duplex",VLOOKUP(M183,'Características dos Cabos MX CH'!$C$12:$I$14,6),(IF(J183="Triplex",VLOOKUP(M183,'Características dos Cabos MX CH'!$C$15:$J$20,6),(IF(J183="Quadruplex",VLOOKUP(M183,'Características dos Cabos MX CH'!$C$21:$K$27,6),(IF(J183="13",VLOOKUP(M183,'Características dos Cabos MX CH'!$C$15:$L$20,6),"")))))))</f>
        <v/>
      </c>
      <c r="T183" s="194" t="str">
        <f t="shared" si="62"/>
        <v/>
      </c>
      <c r="U183" s="447" t="str">
        <f>IF(J183="Duplex",VLOOKUP(M183,'Características dos Cabos MX CH'!$C$12:$I$14,2),(IF(J183="Triplex",VLOOKUP(M183,'Características dos Cabos MX CH'!$C$15:$J$20,2),(IF(J183="Quadruplex",VLOOKUP(M183,'Características dos Cabos MX CH'!$C$21:$K$27,2),(IF(J183="13",VLOOKUP(M183,'Características dos Cabos MX CH'!$C$15:$L$20,2),"")))))))</f>
        <v/>
      </c>
      <c r="V183" s="193" t="str">
        <f>IF(J183="Duplex",VLOOKUP(M183,'Características dos Cabos MX CH'!$C$12:$I$14,3),(IF(J183="Triplex",VLOOKUP(M183,'Características dos Cabos MX CH'!$C$15:$J$20,3),(IF(J183="Quadruplex",VLOOKUP(M183,'Características dos Cabos MX CH'!$C$21:$K$27,3),(IF(J183="13",VLOOKUP(M183,'Características dos Cabos MX CH'!$C$15:$L$20,3),"")))))))</f>
        <v/>
      </c>
      <c r="W183" s="195" t="str">
        <f t="shared" si="63"/>
        <v/>
      </c>
      <c r="X183" s="195" t="str">
        <f t="shared" si="64"/>
        <v/>
      </c>
      <c r="Y183" s="196" t="str">
        <f t="shared" si="65"/>
        <v/>
      </c>
      <c r="AA183" s="396">
        <f t="shared" si="61"/>
        <v>0</v>
      </c>
      <c r="AB183" s="396">
        <f t="shared" si="66"/>
        <v>0</v>
      </c>
      <c r="AC183" s="395"/>
      <c r="AE183" s="357" t="str">
        <f t="shared" si="54"/>
        <v/>
      </c>
      <c r="AF183" s="426">
        <f t="shared" si="59"/>
        <v>0</v>
      </c>
    </row>
    <row r="184" spans="1:32" ht="15" customHeight="1">
      <c r="A184" s="696"/>
      <c r="B184" s="698"/>
      <c r="C184" s="568"/>
      <c r="D184" s="368"/>
      <c r="E184" s="372"/>
      <c r="F184" s="357" t="str">
        <f t="shared" si="53"/>
        <v/>
      </c>
      <c r="G184" s="384"/>
      <c r="H184" s="190" t="str">
        <f>IF(AND(E184="",G184=""),"",SUM(F184:G185))</f>
        <v/>
      </c>
      <c r="I184" s="191"/>
      <c r="J184" s="222"/>
      <c r="K184" s="222"/>
      <c r="L184" s="197" t="str">
        <f>IF(J184="Duplex",VLOOKUP(M184,'Características dos Cabos M Lot'!$C$12:$I$14,7),(IF(J184="Triplex",VLOOKUP(M184,'Características dos Cabos M Lot'!$C$15:$J$20,8),(IF(J184="Quadruplex",VLOOKUP(M184,'Características dos Cabos M Lot'!$C$21:$K$27,9),(IF(J184="13",VLOOKUP(M184,'Características dos Cabos M Lot'!$C$15:$L$20,10),"")))))))</f>
        <v/>
      </c>
      <c r="M184" s="350" t="str">
        <f t="shared" si="55"/>
        <v/>
      </c>
      <c r="N184" s="377"/>
      <c r="O184" s="192" t="str">
        <f t="shared" si="60"/>
        <v/>
      </c>
      <c r="P184" s="192" t="str">
        <f>IF(O184="","",SUM($O$176:O184)+$Z$176)</f>
        <v/>
      </c>
      <c r="Q184" s="192" t="str">
        <f t="shared" si="56"/>
        <v/>
      </c>
      <c r="R184" s="193" t="str">
        <f>IF(J184="Duplex",VLOOKUP(M184,'Características dos Cabos MX CH'!$C$12:$I$14,5),(IF(J184="Triplex",VLOOKUP(M184,'Características dos Cabos MX CH'!$C$15:$J$20,5),(IF(J184="Quadruplex",VLOOKUP(M184,'Características dos Cabos MX CH'!$C$21:$K$27,5),(IF(J184="13",VLOOKUP(M184,'Características dos Cabos MX CH'!$C$15:$L$20,5),"")))))))</f>
        <v/>
      </c>
      <c r="S184" s="193" t="str">
        <f>IF(J184="Duplex",VLOOKUP(M184,'Características dos Cabos MX CH'!$C$12:$I$14,6),(IF(J184="Triplex",VLOOKUP(M184,'Características dos Cabos MX CH'!$C$15:$J$20,6),(IF(J184="Quadruplex",VLOOKUP(M184,'Características dos Cabos MX CH'!$C$21:$K$27,6),(IF(J184="13",VLOOKUP(M184,'Características dos Cabos MX CH'!$C$15:$L$20,6),"")))))))</f>
        <v/>
      </c>
      <c r="T184" s="194" t="str">
        <f t="shared" si="62"/>
        <v/>
      </c>
      <c r="U184" s="447" t="str">
        <f>IF(J184="Duplex",VLOOKUP(M184,'Características dos Cabos MX CH'!$C$12:$I$14,2),(IF(J184="Triplex",VLOOKUP(M184,'Características dos Cabos MX CH'!$C$15:$J$20,2),(IF(J184="Quadruplex",VLOOKUP(M184,'Características dos Cabos MX CH'!$C$21:$K$27,2),(IF(J184="13",VLOOKUP(M184,'Características dos Cabos MX CH'!$C$15:$L$20,2),"")))))))</f>
        <v/>
      </c>
      <c r="V184" s="193" t="str">
        <f>IF(J184="Duplex",VLOOKUP(M184,'Características dos Cabos MX CH'!$C$12:$I$14,3),(IF(J184="Triplex",VLOOKUP(M184,'Características dos Cabos MX CH'!$C$15:$J$20,3),(IF(J184="Quadruplex",VLOOKUP(M184,'Características dos Cabos MX CH'!$C$21:$K$27,3),(IF(J184="13",VLOOKUP(M184,'Características dos Cabos MX CH'!$C$15:$L$20,3),"")))))))</f>
        <v/>
      </c>
      <c r="W184" s="195" t="str">
        <f t="shared" si="63"/>
        <v/>
      </c>
      <c r="X184" s="195" t="str">
        <f t="shared" si="64"/>
        <v/>
      </c>
      <c r="Y184" s="196" t="str">
        <f t="shared" si="65"/>
        <v/>
      </c>
      <c r="AA184" s="396">
        <f t="shared" si="61"/>
        <v>0</v>
      </c>
      <c r="AB184" s="396">
        <f t="shared" si="66"/>
        <v>0</v>
      </c>
      <c r="AC184" s="395"/>
      <c r="AE184" s="357" t="str">
        <f t="shared" si="54"/>
        <v/>
      </c>
      <c r="AF184" s="426">
        <f t="shared" si="59"/>
        <v>0</v>
      </c>
    </row>
    <row r="185" spans="1:32" ht="15" customHeight="1" thickBot="1">
      <c r="A185" s="696"/>
      <c r="B185" s="699"/>
      <c r="C185" s="570"/>
      <c r="D185" s="370"/>
      <c r="E185" s="369"/>
      <c r="F185" s="461" t="str">
        <f t="shared" si="53"/>
        <v/>
      </c>
      <c r="G185" s="385"/>
      <c r="H185" s="200" t="str">
        <f>IF(AND(E185="",G185=""),"",SUM(F185:G185))</f>
        <v/>
      </c>
      <c r="I185" s="201"/>
      <c r="J185" s="223"/>
      <c r="K185" s="223"/>
      <c r="L185" s="202" t="str">
        <f>IF(J185="Duplex",VLOOKUP(M185,'Características dos Cabos M Lot'!$C$12:$I$14,7),(IF(J185="Triplex",VLOOKUP(M185,'Características dos Cabos M Lot'!$C$15:$J$20,8),(IF(J185="Quadruplex",VLOOKUP(M185,'Características dos Cabos M Lot'!$C$21:$K$27,9),(IF(J185="13",VLOOKUP(M185,'Características dos Cabos M Lot'!$C$15:$L$20,10),"")))))))</f>
        <v/>
      </c>
      <c r="M185" s="353" t="str">
        <f t="shared" si="55"/>
        <v/>
      </c>
      <c r="N185" s="378"/>
      <c r="O185" s="203" t="str">
        <f t="shared" si="60"/>
        <v/>
      </c>
      <c r="P185" s="192" t="str">
        <f>IF(O185="","",SUM($O$176:O185)+$Z$176)</f>
        <v/>
      </c>
      <c r="Q185" s="203" t="str">
        <f t="shared" si="56"/>
        <v/>
      </c>
      <c r="R185" s="204" t="str">
        <f>IF(J185="Duplex",VLOOKUP(M185,'Características dos Cabos MX CH'!$C$12:$I$14,5),(IF(J185="Triplex",VLOOKUP(M185,'Características dos Cabos MX CH'!$C$15:$J$20,5),(IF(J185="Quadruplex",VLOOKUP(M185,'Características dos Cabos MX CH'!$C$21:$K$27,5),(IF(J185="13",VLOOKUP(M185,'Características dos Cabos MX CH'!$C$15:$L$20,5),"")))))))</f>
        <v/>
      </c>
      <c r="S185" s="204" t="str">
        <f>IF(J185="Duplex",VLOOKUP(M185,'Características dos Cabos MX CH'!$C$12:$I$14,6),(IF(J185="Triplex",VLOOKUP(M185,'Características dos Cabos MX CH'!$C$15:$J$20,6),(IF(J185="Quadruplex",VLOOKUP(M185,'Características dos Cabos MX CH'!$C$21:$K$27,6),(IF(J185="13",VLOOKUP(M185,'Características dos Cabos MX CH'!$C$15:$L$20,6),"")))))))</f>
        <v/>
      </c>
      <c r="T185" s="205" t="str">
        <f t="shared" si="62"/>
        <v/>
      </c>
      <c r="U185" s="448" t="str">
        <f>IF(J185="Duplex",VLOOKUP(M185,'Características dos Cabos MX CH'!$C$12:$I$14,2),(IF(J185="Triplex",VLOOKUP(M185,'Características dos Cabos MX CH'!$C$15:$J$20,2),(IF(J185="Quadruplex",VLOOKUP(M185,'Características dos Cabos MX CH'!$C$21:$K$27,2),(IF(J185="13",VLOOKUP(M185,'Características dos Cabos MX CH'!$C$15:$L$20,2),"")))))))</f>
        <v/>
      </c>
      <c r="V185" s="204" t="str">
        <f>IF(J185="Duplex",VLOOKUP(M185,'Características dos Cabos MX CH'!$C$12:$I$14,3),(IF(J185="Triplex",VLOOKUP(M185,'Características dos Cabos MX CH'!$C$15:$J$20,3),(IF(J185="Quadruplex",VLOOKUP(M185,'Características dos Cabos MX CH'!$C$21:$K$27,3),(IF(J185="13",VLOOKUP(M185,'Características dos Cabos MX CH'!$C$15:$L$20,3),"")))))))</f>
        <v/>
      </c>
      <c r="W185" s="206" t="str">
        <f t="shared" si="63"/>
        <v/>
      </c>
      <c r="X185" s="206" t="str">
        <f t="shared" si="64"/>
        <v/>
      </c>
      <c r="Y185" s="207" t="str">
        <f t="shared" si="65"/>
        <v/>
      </c>
      <c r="AA185" s="396">
        <f t="shared" si="61"/>
        <v>0</v>
      </c>
      <c r="AB185" s="396">
        <f t="shared" si="66"/>
        <v>0</v>
      </c>
      <c r="AC185" s="395"/>
      <c r="AE185" s="357" t="str">
        <f t="shared" si="54"/>
        <v/>
      </c>
      <c r="AF185" s="426">
        <f t="shared" si="59"/>
        <v>0</v>
      </c>
    </row>
    <row r="186" spans="1:32" ht="15" customHeight="1" thickTop="1">
      <c r="A186" s="696"/>
      <c r="B186" s="700" t="str">
        <f>CONCATENATE("Ramal 15 - Derivando no ponto ",C186)</f>
        <v xml:space="preserve">Ramal 15 - Derivando no ponto </v>
      </c>
      <c r="C186" s="571"/>
      <c r="D186" s="371"/>
      <c r="E186" s="374"/>
      <c r="F186" s="459" t="str">
        <f t="shared" si="53"/>
        <v/>
      </c>
      <c r="G186" s="386"/>
      <c r="H186" s="209" t="str">
        <f>IF(AND(E186="",G186=""),"",SUM(F186:G195))</f>
        <v/>
      </c>
      <c r="I186" s="210"/>
      <c r="J186" s="224"/>
      <c r="K186" s="224"/>
      <c r="L186" s="211" t="str">
        <f>IF(J186="Duplex",VLOOKUP(M186,'Características dos Cabos M Lot'!$C$12:$I$14,7),(IF(J186="Triplex",VLOOKUP(M186,'Características dos Cabos M Lot'!$C$15:$J$20,8),(IF(J186="Quadruplex",VLOOKUP(M186,'Características dos Cabos M Lot'!$C$21:$K$27,9),(IF(J186="13",VLOOKUP(M186,'Características dos Cabos M Lot'!$C$15:$L$20,10),"")))))))</f>
        <v/>
      </c>
      <c r="M186" s="354" t="str">
        <f t="shared" si="55"/>
        <v/>
      </c>
      <c r="N186" s="379"/>
      <c r="O186" s="212" t="str">
        <f t="shared" si="60"/>
        <v/>
      </c>
      <c r="P186" s="217" t="str">
        <f>IF(O186="","",O186+VLOOKUP(C186,$D$20:$Q$185,13,FALSE))</f>
        <v/>
      </c>
      <c r="Q186" s="212" t="str">
        <f t="shared" si="56"/>
        <v/>
      </c>
      <c r="R186" s="213" t="str">
        <f>IF(J186="Duplex",VLOOKUP(M186,'Características dos Cabos MX CH'!$C$12:$I$14,5),(IF(J186="Triplex",VLOOKUP(M186,'Características dos Cabos MX CH'!$C$15:$J$20,5),(IF(J186="Quadruplex",VLOOKUP(M186,'Características dos Cabos MX CH'!$C$21:$K$27,5),(IF(J186="13",VLOOKUP(M186,'Características dos Cabos MX CH'!$C$15:$L$20,5),"")))))))</f>
        <v/>
      </c>
      <c r="S186" s="213" t="str">
        <f>IF(J186="Duplex",VLOOKUP(M186,'Características dos Cabos MX CH'!$C$12:$I$14,6),(IF(J186="Triplex",VLOOKUP(M186,'Características dos Cabos MX CH'!$C$15:$J$20,6),(IF(J186="Quadruplex",VLOOKUP(M186,'Características dos Cabos MX CH'!$C$21:$K$27,6),(IF(J186="13",VLOOKUP(M186,'Características dos Cabos MX CH'!$C$15:$L$20,6),"")))))))</f>
        <v/>
      </c>
      <c r="T186" s="214" t="str">
        <f t="shared" si="62"/>
        <v/>
      </c>
      <c r="U186" s="450" t="str">
        <f>IF(J186="Duplex",VLOOKUP(M186,'Características dos Cabos MX CH'!$C$12:$I$14,2),(IF(J186="Triplex",VLOOKUP(M186,'Características dos Cabos MX CH'!$C$15:$J$20,2),(IF(J186="Quadruplex",VLOOKUP(M186,'Características dos Cabos MX CH'!$C$21:$K$27,2),(IF(J186="13",VLOOKUP(M186,'Características dos Cabos MX CH'!$C$15:$L$20,2),"")))))))</f>
        <v/>
      </c>
      <c r="V186" s="213" t="str">
        <f>IF(J186="Duplex",VLOOKUP(M186,'Características dos Cabos MX CH'!$C$12:$I$14,3),(IF(J186="Triplex",VLOOKUP(M186,'Características dos Cabos MX CH'!$C$15:$J$20,3),(IF(J186="Quadruplex",VLOOKUP(M186,'Características dos Cabos MX CH'!$C$21:$K$27,3),(IF(J186="13",VLOOKUP(M186,'Características dos Cabos MX CH'!$C$15:$L$20,3),"")))))))</f>
        <v/>
      </c>
      <c r="W186" s="215" t="str">
        <f t="shared" si="63"/>
        <v/>
      </c>
      <c r="X186" s="215" t="str">
        <f t="shared" si="64"/>
        <v/>
      </c>
      <c r="Y186" s="216" t="str">
        <f t="shared" si="65"/>
        <v/>
      </c>
      <c r="Z186" s="393" t="str">
        <f>IF(O186="","",VLOOKUP(C186,$D$20:$P$185,13,FALSE))</f>
        <v/>
      </c>
      <c r="AA186" s="396">
        <f t="shared" si="61"/>
        <v>0</v>
      </c>
      <c r="AB186" s="396">
        <f t="shared" si="67" ref="AB186:AB195">K186</f>
        <v>0</v>
      </c>
      <c r="AC186" s="395"/>
      <c r="AE186" s="357" t="str">
        <f t="shared" si="54"/>
        <v/>
      </c>
      <c r="AF186" s="426">
        <f t="shared" si="59"/>
        <v>0</v>
      </c>
    </row>
    <row r="187" spans="1:32" ht="15" customHeight="1">
      <c r="A187" s="696"/>
      <c r="B187" s="698"/>
      <c r="C187" s="568"/>
      <c r="D187" s="368"/>
      <c r="E187" s="372"/>
      <c r="F187" s="357" t="str">
        <f t="shared" si="53"/>
        <v/>
      </c>
      <c r="G187" s="384"/>
      <c r="H187" s="190" t="str">
        <f>IF(AND(E187="",G187=""),"",SUM(F187:G195))</f>
        <v/>
      </c>
      <c r="I187" s="191"/>
      <c r="J187" s="222"/>
      <c r="K187" s="222"/>
      <c r="L187" s="197" t="str">
        <f>IF(J187="Duplex",VLOOKUP(M187,'Características dos Cabos M Lot'!$C$12:$I$14,7),(IF(J187="Triplex",VLOOKUP(M187,'Características dos Cabos M Lot'!$C$15:$J$20,8),(IF(J187="Quadruplex",VLOOKUP(M187,'Características dos Cabos M Lot'!$C$21:$K$27,9),(IF(J187="13",VLOOKUP(M187,'Características dos Cabos M Lot'!$C$15:$L$20,10),"")))))))</f>
        <v/>
      </c>
      <c r="M187" s="350" t="str">
        <f t="shared" si="55"/>
        <v/>
      </c>
      <c r="N187" s="377"/>
      <c r="O187" s="192" t="str">
        <f t="shared" si="60"/>
        <v/>
      </c>
      <c r="P187" s="192" t="str">
        <f>IF(O187="","",SUM($O$186:O187)+$Z$186)</f>
        <v/>
      </c>
      <c r="Q187" s="192" t="str">
        <f t="shared" si="56"/>
        <v/>
      </c>
      <c r="R187" s="193" t="str">
        <f>IF(J187="Duplex",VLOOKUP(M187,'Características dos Cabos MX CH'!$C$12:$I$14,5),(IF(J187="Triplex",VLOOKUP(M187,'Características dos Cabos MX CH'!$C$15:$J$20,5),(IF(J187="Quadruplex",VLOOKUP(M187,'Características dos Cabos MX CH'!$C$21:$K$27,5),(IF(J187="13",VLOOKUP(M187,'Características dos Cabos MX CH'!$C$15:$L$20,5),"")))))))</f>
        <v/>
      </c>
      <c r="S187" s="193" t="str">
        <f>IF(J187="Duplex",VLOOKUP(M187,'Características dos Cabos MX CH'!$C$12:$I$14,6),(IF(J187="Triplex",VLOOKUP(M187,'Características dos Cabos MX CH'!$C$15:$J$20,6),(IF(J187="Quadruplex",VLOOKUP(M187,'Características dos Cabos MX CH'!$C$21:$K$27,6),(IF(J187="13",VLOOKUP(M187,'Características dos Cabos MX CH'!$C$15:$L$20,6),"")))))))</f>
        <v/>
      </c>
      <c r="T187" s="194" t="str">
        <f t="shared" si="62"/>
        <v/>
      </c>
      <c r="U187" s="447" t="str">
        <f>IF(J187="Duplex",VLOOKUP(M187,'Características dos Cabos MX CH'!$C$12:$I$14,2),(IF(J187="Triplex",VLOOKUP(M187,'Características dos Cabos MX CH'!$C$15:$J$20,2),(IF(J187="Quadruplex",VLOOKUP(M187,'Características dos Cabos MX CH'!$C$21:$K$27,2),(IF(J187="13",VLOOKUP(M187,'Características dos Cabos MX CH'!$C$15:$L$20,2),"")))))))</f>
        <v/>
      </c>
      <c r="V187" s="193" t="str">
        <f>IF(J187="Duplex",VLOOKUP(M187,'Características dos Cabos MX CH'!$C$12:$I$14,3),(IF(J187="Triplex",VLOOKUP(M187,'Características dos Cabos MX CH'!$C$15:$J$20,3),(IF(J187="Quadruplex",VLOOKUP(M187,'Características dos Cabos MX CH'!$C$21:$K$27,3),(IF(J187="13",VLOOKUP(M187,'Características dos Cabos MX CH'!$C$15:$L$20,3),"")))))))</f>
        <v/>
      </c>
      <c r="W187" s="195" t="str">
        <f t="shared" si="63"/>
        <v/>
      </c>
      <c r="X187" s="195" t="str">
        <f t="shared" si="64"/>
        <v/>
      </c>
      <c r="Y187" s="196" t="str">
        <f t="shared" si="65"/>
        <v/>
      </c>
      <c r="AA187" s="396">
        <f t="shared" si="61"/>
        <v>0</v>
      </c>
      <c r="AB187" s="396">
        <f t="shared" si="67"/>
        <v>0</v>
      </c>
      <c r="AC187" s="395"/>
      <c r="AE187" s="357" t="str">
        <f t="shared" si="54"/>
        <v/>
      </c>
      <c r="AF187" s="426">
        <f t="shared" si="59"/>
        <v>0</v>
      </c>
    </row>
    <row r="188" spans="1:32" ht="15" customHeight="1">
      <c r="A188" s="696"/>
      <c r="B188" s="698"/>
      <c r="C188" s="568"/>
      <c r="D188" s="368"/>
      <c r="E188" s="372"/>
      <c r="F188" s="357" t="str">
        <f t="shared" si="53"/>
        <v/>
      </c>
      <c r="G188" s="384"/>
      <c r="H188" s="190" t="str">
        <f>IF(AND(E188="",G188=""),"",SUM(F188:G195))</f>
        <v/>
      </c>
      <c r="I188" s="191"/>
      <c r="J188" s="222"/>
      <c r="K188" s="222"/>
      <c r="L188" s="197" t="str">
        <f>IF(J188="Duplex",VLOOKUP(M188,'Características dos Cabos M Lot'!$C$12:$I$14,7),(IF(J188="Triplex",VLOOKUP(M188,'Características dos Cabos M Lot'!$C$15:$J$20,8),(IF(J188="Quadruplex",VLOOKUP(M188,'Características dos Cabos M Lot'!$C$21:$K$27,9),(IF(J188="13",VLOOKUP(M188,'Características dos Cabos M Lot'!$C$15:$L$20,10),"")))))))</f>
        <v/>
      </c>
      <c r="M188" s="350" t="str">
        <f t="shared" si="55"/>
        <v/>
      </c>
      <c r="N188" s="377"/>
      <c r="O188" s="192" t="str">
        <f t="shared" si="60"/>
        <v/>
      </c>
      <c r="P188" s="192" t="str">
        <f>IF(O188="","",SUM($O$186:O188)+$Z$186)</f>
        <v/>
      </c>
      <c r="Q188" s="192" t="str">
        <f t="shared" si="56"/>
        <v/>
      </c>
      <c r="R188" s="193" t="str">
        <f>IF(J188="Duplex",VLOOKUP(M188,'Características dos Cabos MX CH'!$C$12:$I$14,5),(IF(J188="Triplex",VLOOKUP(M188,'Características dos Cabos MX CH'!$C$15:$J$20,5),(IF(J188="Quadruplex",VLOOKUP(M188,'Características dos Cabos MX CH'!$C$21:$K$27,5),(IF(J188="13",VLOOKUP(M188,'Características dos Cabos MX CH'!$C$15:$L$20,5),"")))))))</f>
        <v/>
      </c>
      <c r="S188" s="193" t="str">
        <f>IF(J188="Duplex",VLOOKUP(M188,'Características dos Cabos MX CH'!$C$12:$I$14,6),(IF(J188="Triplex",VLOOKUP(M188,'Características dos Cabos MX CH'!$C$15:$J$20,6),(IF(J188="Quadruplex",VLOOKUP(M188,'Características dos Cabos MX CH'!$C$21:$K$27,6),(IF(J188="13",VLOOKUP(M188,'Características dos Cabos MX CH'!$C$15:$L$20,6),"")))))))</f>
        <v/>
      </c>
      <c r="T188" s="194" t="str">
        <f t="shared" si="62"/>
        <v/>
      </c>
      <c r="U188" s="447" t="str">
        <f>IF(J188="Duplex",VLOOKUP(M188,'Características dos Cabos MX CH'!$C$12:$I$14,2),(IF(J188="Triplex",VLOOKUP(M188,'Características dos Cabos MX CH'!$C$15:$J$20,2),(IF(J188="Quadruplex",VLOOKUP(M188,'Características dos Cabos MX CH'!$C$21:$K$27,2),(IF(J188="13",VLOOKUP(M188,'Características dos Cabos MX CH'!$C$15:$L$20,2),"")))))))</f>
        <v/>
      </c>
      <c r="V188" s="193" t="str">
        <f>IF(J188="Duplex",VLOOKUP(M188,'Características dos Cabos MX CH'!$C$12:$I$14,3),(IF(J188="Triplex",VLOOKUP(M188,'Características dos Cabos MX CH'!$C$15:$J$20,3),(IF(J188="Quadruplex",VLOOKUP(M188,'Características dos Cabos MX CH'!$C$21:$K$27,3),(IF(J188="13",VLOOKUP(M188,'Características dos Cabos MX CH'!$C$15:$L$20,3),"")))))))</f>
        <v/>
      </c>
      <c r="W188" s="195" t="str">
        <f t="shared" si="63"/>
        <v/>
      </c>
      <c r="X188" s="195" t="str">
        <f t="shared" si="64"/>
        <v/>
      </c>
      <c r="Y188" s="196" t="str">
        <f t="shared" si="65"/>
        <v/>
      </c>
      <c r="AA188" s="396">
        <f t="shared" si="61"/>
        <v>0</v>
      </c>
      <c r="AB188" s="396">
        <f t="shared" si="67"/>
        <v>0</v>
      </c>
      <c r="AC188" s="395"/>
      <c r="AE188" s="357" t="str">
        <f t="shared" si="54"/>
        <v/>
      </c>
      <c r="AF188" s="426">
        <f t="shared" si="59"/>
        <v>0</v>
      </c>
    </row>
    <row r="189" spans="1:32" ht="15" customHeight="1">
      <c r="A189" s="696"/>
      <c r="B189" s="698"/>
      <c r="C189" s="568"/>
      <c r="D189" s="368"/>
      <c r="E189" s="372"/>
      <c r="F189" s="357" t="str">
        <f t="shared" si="53"/>
        <v/>
      </c>
      <c r="G189" s="384"/>
      <c r="H189" s="190" t="str">
        <f>IF(AND(E189="",G189=""),"",SUM(F189:G195))</f>
        <v/>
      </c>
      <c r="I189" s="191"/>
      <c r="J189" s="222"/>
      <c r="K189" s="222"/>
      <c r="L189" s="197" t="str">
        <f>IF(J189="Duplex",VLOOKUP(M189,'Características dos Cabos M Lot'!$C$12:$I$14,7),(IF(J189="Triplex",VLOOKUP(M189,'Características dos Cabos M Lot'!$C$15:$J$20,8),(IF(J189="Quadruplex",VLOOKUP(M189,'Características dos Cabos M Lot'!$C$21:$K$27,9),(IF(J189="13",VLOOKUP(M189,'Características dos Cabos M Lot'!$C$15:$L$20,10),"")))))))</f>
        <v/>
      </c>
      <c r="M189" s="350" t="str">
        <f t="shared" si="55"/>
        <v/>
      </c>
      <c r="N189" s="377"/>
      <c r="O189" s="192" t="str">
        <f t="shared" si="60"/>
        <v/>
      </c>
      <c r="P189" s="192" t="str">
        <f>IF(O189="","",SUM($O$186:O189)+$Z$186)</f>
        <v/>
      </c>
      <c r="Q189" s="192" t="str">
        <f t="shared" si="56"/>
        <v/>
      </c>
      <c r="R189" s="193" t="str">
        <f>IF(J189="Duplex",VLOOKUP(M189,'Características dos Cabos MX CH'!$C$12:$I$14,5),(IF(J189="Triplex",VLOOKUP(M189,'Características dos Cabos MX CH'!$C$15:$J$20,5),(IF(J189="Quadruplex",VLOOKUP(M189,'Características dos Cabos MX CH'!$C$21:$K$27,5),(IF(J189="13",VLOOKUP(M189,'Características dos Cabos MX CH'!$C$15:$L$20,5),"")))))))</f>
        <v/>
      </c>
      <c r="S189" s="193" t="str">
        <f>IF(J189="Duplex",VLOOKUP(M189,'Características dos Cabos MX CH'!$C$12:$I$14,6),(IF(J189="Triplex",VLOOKUP(M189,'Características dos Cabos MX CH'!$C$15:$J$20,6),(IF(J189="Quadruplex",VLOOKUP(M189,'Características dos Cabos MX CH'!$C$21:$K$27,6),(IF(J189="13",VLOOKUP(M189,'Características dos Cabos MX CH'!$C$15:$L$20,6),"")))))))</f>
        <v/>
      </c>
      <c r="T189" s="194" t="str">
        <f t="shared" si="62"/>
        <v/>
      </c>
      <c r="U189" s="447" t="str">
        <f>IF(J189="Duplex",VLOOKUP(M189,'Características dos Cabos MX CH'!$C$12:$I$14,2),(IF(J189="Triplex",VLOOKUP(M189,'Características dos Cabos MX CH'!$C$15:$J$20,2),(IF(J189="Quadruplex",VLOOKUP(M189,'Características dos Cabos MX CH'!$C$21:$K$27,2),(IF(J189="13",VLOOKUP(M189,'Características dos Cabos MX CH'!$C$15:$L$20,2),"")))))))</f>
        <v/>
      </c>
      <c r="V189" s="193" t="str">
        <f>IF(J189="Duplex",VLOOKUP(M189,'Características dos Cabos MX CH'!$C$12:$I$14,3),(IF(J189="Triplex",VLOOKUP(M189,'Características dos Cabos MX CH'!$C$15:$J$20,3),(IF(J189="Quadruplex",VLOOKUP(M189,'Características dos Cabos MX CH'!$C$21:$K$27,3),(IF(J189="13",VLOOKUP(M189,'Características dos Cabos MX CH'!$C$15:$L$20,3),"")))))))</f>
        <v/>
      </c>
      <c r="W189" s="195" t="str">
        <f t="shared" si="63"/>
        <v/>
      </c>
      <c r="X189" s="195" t="str">
        <f t="shared" si="64"/>
        <v/>
      </c>
      <c r="Y189" s="196" t="str">
        <f t="shared" si="65"/>
        <v/>
      </c>
      <c r="AA189" s="396">
        <f t="shared" si="61"/>
        <v>0</v>
      </c>
      <c r="AB189" s="396">
        <f t="shared" si="67"/>
        <v>0</v>
      </c>
      <c r="AC189" s="395"/>
      <c r="AE189" s="357" t="str">
        <f t="shared" si="54"/>
        <v/>
      </c>
      <c r="AF189" s="426">
        <f t="shared" si="59"/>
        <v>0</v>
      </c>
    </row>
    <row r="190" spans="1:32" ht="15" customHeight="1">
      <c r="A190" s="696"/>
      <c r="B190" s="698"/>
      <c r="C190" s="568"/>
      <c r="D190" s="368"/>
      <c r="E190" s="372"/>
      <c r="F190" s="357" t="str">
        <f t="shared" si="53"/>
        <v/>
      </c>
      <c r="G190" s="384"/>
      <c r="H190" s="190" t="str">
        <f>IF(AND(E190="",G190=""),"",SUM(F190:G195))</f>
        <v/>
      </c>
      <c r="I190" s="191"/>
      <c r="J190" s="222"/>
      <c r="K190" s="222"/>
      <c r="L190" s="197" t="str">
        <f>IF(J190="Duplex",VLOOKUP(M190,'Características dos Cabos M Lot'!$C$12:$I$14,7),(IF(J190="Triplex",VLOOKUP(M190,'Características dos Cabos M Lot'!$C$15:$J$20,8),(IF(J190="Quadruplex",VLOOKUP(M190,'Características dos Cabos M Lot'!$C$21:$K$27,9),(IF(J190="13",VLOOKUP(M190,'Características dos Cabos M Lot'!$C$15:$L$20,10),"")))))))</f>
        <v/>
      </c>
      <c r="M190" s="350" t="str">
        <f t="shared" si="55"/>
        <v/>
      </c>
      <c r="N190" s="377"/>
      <c r="O190" s="192" t="str">
        <f t="shared" si="60"/>
        <v/>
      </c>
      <c r="P190" s="192" t="str">
        <f>IF(O190="","",SUM($O$186:O190)+$Z$186)</f>
        <v/>
      </c>
      <c r="Q190" s="192" t="str">
        <f t="shared" si="56"/>
        <v/>
      </c>
      <c r="R190" s="193" t="str">
        <f>IF(J190="Duplex",VLOOKUP(M190,'Características dos Cabos MX CH'!$C$12:$I$14,5),(IF(J190="Triplex",VLOOKUP(M190,'Características dos Cabos MX CH'!$C$15:$J$20,5),(IF(J190="Quadruplex",VLOOKUP(M190,'Características dos Cabos MX CH'!$C$21:$K$27,5),(IF(J190="13",VLOOKUP(M190,'Características dos Cabos MX CH'!$C$15:$L$20,5),"")))))))</f>
        <v/>
      </c>
      <c r="S190" s="193" t="str">
        <f>IF(J190="Duplex",VLOOKUP(M190,'Características dos Cabos MX CH'!$C$12:$I$14,6),(IF(J190="Triplex",VLOOKUP(M190,'Características dos Cabos MX CH'!$C$15:$J$20,6),(IF(J190="Quadruplex",VLOOKUP(M190,'Características dos Cabos MX CH'!$C$21:$K$27,6),(IF(J190="13",VLOOKUP(M190,'Características dos Cabos MX CH'!$C$15:$L$20,6),"")))))))</f>
        <v/>
      </c>
      <c r="T190" s="194" t="str">
        <f t="shared" si="62"/>
        <v/>
      </c>
      <c r="U190" s="447" t="str">
        <f>IF(J190="Duplex",VLOOKUP(M190,'Características dos Cabos MX CH'!$C$12:$I$14,2),(IF(J190="Triplex",VLOOKUP(M190,'Características dos Cabos MX CH'!$C$15:$J$20,2),(IF(J190="Quadruplex",VLOOKUP(M190,'Características dos Cabos MX CH'!$C$21:$K$27,2),(IF(J190="13",VLOOKUP(M190,'Características dos Cabos MX CH'!$C$15:$L$20,2),"")))))))</f>
        <v/>
      </c>
      <c r="V190" s="193" t="str">
        <f>IF(J190="Duplex",VLOOKUP(M190,'Características dos Cabos MX CH'!$C$12:$I$14,3),(IF(J190="Triplex",VLOOKUP(M190,'Características dos Cabos MX CH'!$C$15:$J$20,3),(IF(J190="Quadruplex",VLOOKUP(M190,'Características dos Cabos MX CH'!$C$21:$K$27,3),(IF(J190="13",VLOOKUP(M190,'Características dos Cabos MX CH'!$C$15:$L$20,3),"")))))))</f>
        <v/>
      </c>
      <c r="W190" s="195" t="str">
        <f t="shared" si="63"/>
        <v/>
      </c>
      <c r="X190" s="195" t="str">
        <f t="shared" si="64"/>
        <v/>
      </c>
      <c r="Y190" s="196" t="str">
        <f t="shared" si="65"/>
        <v/>
      </c>
      <c r="AA190" s="396">
        <f t="shared" si="61"/>
        <v>0</v>
      </c>
      <c r="AB190" s="396">
        <f t="shared" si="67"/>
        <v>0</v>
      </c>
      <c r="AC190" s="395"/>
      <c r="AE190" s="357" t="str">
        <f t="shared" si="54"/>
        <v/>
      </c>
      <c r="AF190" s="426">
        <f t="shared" si="59"/>
        <v>0</v>
      </c>
    </row>
    <row r="191" spans="1:32" ht="15" customHeight="1">
      <c r="A191" s="696"/>
      <c r="B191" s="698"/>
      <c r="C191" s="568"/>
      <c r="D191" s="368"/>
      <c r="E191" s="372"/>
      <c r="F191" s="357" t="str">
        <f t="shared" si="53"/>
        <v/>
      </c>
      <c r="G191" s="384"/>
      <c r="H191" s="190" t="str">
        <f>IF(AND(E191="",G191=""),"",SUM(F191:G195))</f>
        <v/>
      </c>
      <c r="I191" s="191"/>
      <c r="J191" s="222"/>
      <c r="K191" s="222"/>
      <c r="L191" s="197" t="str">
        <f>IF(J191="Duplex",VLOOKUP(M191,'Características dos Cabos M Lot'!$C$12:$I$14,7),(IF(J191="Triplex",VLOOKUP(M191,'Características dos Cabos M Lot'!$C$15:$J$20,8),(IF(J191="Quadruplex",VLOOKUP(M191,'Características dos Cabos M Lot'!$C$21:$K$27,9),(IF(J191="13",VLOOKUP(M191,'Características dos Cabos M Lot'!$C$15:$L$20,10),"")))))))</f>
        <v/>
      </c>
      <c r="M191" s="350" t="str">
        <f t="shared" si="55"/>
        <v/>
      </c>
      <c r="N191" s="377"/>
      <c r="O191" s="192" t="str">
        <f t="shared" si="60"/>
        <v/>
      </c>
      <c r="P191" s="192" t="str">
        <f>IF(O191="","",SUM($O$186:O191)+$Z$186)</f>
        <v/>
      </c>
      <c r="Q191" s="192" t="str">
        <f t="shared" si="56"/>
        <v/>
      </c>
      <c r="R191" s="193" t="str">
        <f>IF(J191="Duplex",VLOOKUP(M191,'Características dos Cabos MX CH'!$C$12:$I$14,5),(IF(J191="Triplex",VLOOKUP(M191,'Características dos Cabos MX CH'!$C$15:$J$20,5),(IF(J191="Quadruplex",VLOOKUP(M191,'Características dos Cabos MX CH'!$C$21:$K$27,5),(IF(J191="13",VLOOKUP(M191,'Características dos Cabos MX CH'!$C$15:$L$20,5),"")))))))</f>
        <v/>
      </c>
      <c r="S191" s="193" t="str">
        <f>IF(J191="Duplex",VLOOKUP(M191,'Características dos Cabos MX CH'!$C$12:$I$14,6),(IF(J191="Triplex",VLOOKUP(M191,'Características dos Cabos MX CH'!$C$15:$J$20,6),(IF(J191="Quadruplex",VLOOKUP(M191,'Características dos Cabos MX CH'!$C$21:$K$27,6),(IF(J191="13",VLOOKUP(M191,'Características dos Cabos MX CH'!$C$15:$L$20,6),"")))))))</f>
        <v/>
      </c>
      <c r="T191" s="194" t="str">
        <f t="shared" si="62"/>
        <v/>
      </c>
      <c r="U191" s="447" t="str">
        <f>IF(J191="Duplex",VLOOKUP(M191,'Características dos Cabos MX CH'!$C$12:$I$14,2),(IF(J191="Triplex",VLOOKUP(M191,'Características dos Cabos MX CH'!$C$15:$J$20,2),(IF(J191="Quadruplex",VLOOKUP(M191,'Características dos Cabos MX CH'!$C$21:$K$27,2),(IF(J191="13",VLOOKUP(M191,'Características dos Cabos MX CH'!$C$15:$L$20,2),"")))))))</f>
        <v/>
      </c>
      <c r="V191" s="193" t="str">
        <f>IF(J191="Duplex",VLOOKUP(M191,'Características dos Cabos MX CH'!$C$12:$I$14,3),(IF(J191="Triplex",VLOOKUP(M191,'Características dos Cabos MX CH'!$C$15:$J$20,3),(IF(J191="Quadruplex",VLOOKUP(M191,'Características dos Cabos MX CH'!$C$21:$K$27,3),(IF(J191="13",VLOOKUP(M191,'Características dos Cabos MX CH'!$C$15:$L$20,3),"")))))))</f>
        <v/>
      </c>
      <c r="W191" s="195" t="str">
        <f t="shared" si="63"/>
        <v/>
      </c>
      <c r="X191" s="195" t="str">
        <f t="shared" si="64"/>
        <v/>
      </c>
      <c r="Y191" s="196" t="str">
        <f t="shared" si="65"/>
        <v/>
      </c>
      <c r="AA191" s="396">
        <f t="shared" si="61"/>
        <v>0</v>
      </c>
      <c r="AB191" s="396">
        <f t="shared" si="67"/>
        <v>0</v>
      </c>
      <c r="AC191" s="395"/>
      <c r="AE191" s="357" t="str">
        <f t="shared" si="54"/>
        <v/>
      </c>
      <c r="AF191" s="426">
        <f t="shared" si="59"/>
        <v>0</v>
      </c>
    </row>
    <row r="192" spans="1:32" ht="15" customHeight="1">
      <c r="A192" s="696"/>
      <c r="B192" s="698"/>
      <c r="C192" s="568"/>
      <c r="D192" s="368"/>
      <c r="E192" s="372"/>
      <c r="F192" s="357" t="str">
        <f t="shared" si="53"/>
        <v/>
      </c>
      <c r="G192" s="384"/>
      <c r="H192" s="190" t="str">
        <f>IF(AND(E192="",G192=""),"",SUM(F192:G195))</f>
        <v/>
      </c>
      <c r="I192" s="191"/>
      <c r="J192" s="222"/>
      <c r="K192" s="222"/>
      <c r="L192" s="197" t="str">
        <f>IF(J192="Duplex",VLOOKUP(M192,'Características dos Cabos M Lot'!$C$12:$I$14,7),(IF(J192="Triplex",VLOOKUP(M192,'Características dos Cabos M Lot'!$C$15:$J$20,8),(IF(J192="Quadruplex",VLOOKUP(M192,'Características dos Cabos M Lot'!$C$21:$K$27,9),(IF(J192="13",VLOOKUP(M192,'Características dos Cabos M Lot'!$C$15:$L$20,10),"")))))))</f>
        <v/>
      </c>
      <c r="M192" s="350" t="str">
        <f t="shared" si="55"/>
        <v/>
      </c>
      <c r="N192" s="377"/>
      <c r="O192" s="192" t="str">
        <f t="shared" si="60"/>
        <v/>
      </c>
      <c r="P192" s="192" t="str">
        <f>IF(O192="","",SUM($O$186:O192)+$Z$186)</f>
        <v/>
      </c>
      <c r="Q192" s="192" t="str">
        <f t="shared" si="56"/>
        <v/>
      </c>
      <c r="R192" s="193" t="str">
        <f>IF(J192="Duplex",VLOOKUP(M192,'Características dos Cabos MX CH'!$C$12:$I$14,5),(IF(J192="Triplex",VLOOKUP(M192,'Características dos Cabos MX CH'!$C$15:$J$20,5),(IF(J192="Quadruplex",VLOOKUP(M192,'Características dos Cabos MX CH'!$C$21:$K$27,5),(IF(J192="13",VLOOKUP(M192,'Características dos Cabos MX CH'!$C$15:$L$20,5),"")))))))</f>
        <v/>
      </c>
      <c r="S192" s="193" t="str">
        <f>IF(J192="Duplex",VLOOKUP(M192,'Características dos Cabos MX CH'!$C$12:$I$14,6),(IF(J192="Triplex",VLOOKUP(M192,'Características dos Cabos MX CH'!$C$15:$J$20,6),(IF(J192="Quadruplex",VLOOKUP(M192,'Características dos Cabos MX CH'!$C$21:$K$27,6),(IF(J192="13",VLOOKUP(M192,'Características dos Cabos MX CH'!$C$15:$L$20,6),"")))))))</f>
        <v/>
      </c>
      <c r="T192" s="194" t="str">
        <f t="shared" si="62"/>
        <v/>
      </c>
      <c r="U192" s="447" t="str">
        <f>IF(J192="Duplex",VLOOKUP(M192,'Características dos Cabos MX CH'!$C$12:$I$14,2),(IF(J192="Triplex",VLOOKUP(M192,'Características dos Cabos MX CH'!$C$15:$J$20,2),(IF(J192="Quadruplex",VLOOKUP(M192,'Características dos Cabos MX CH'!$C$21:$K$27,2),(IF(J192="13",VLOOKUP(M192,'Características dos Cabos MX CH'!$C$15:$L$20,2),"")))))))</f>
        <v/>
      </c>
      <c r="V192" s="193" t="str">
        <f>IF(J192="Duplex",VLOOKUP(M192,'Características dos Cabos MX CH'!$C$12:$I$14,3),(IF(J192="Triplex",VLOOKUP(M192,'Características dos Cabos MX CH'!$C$15:$J$20,3),(IF(J192="Quadruplex",VLOOKUP(M192,'Características dos Cabos MX CH'!$C$21:$K$27,3),(IF(J192="13",VLOOKUP(M192,'Características dos Cabos MX CH'!$C$15:$L$20,3),"")))))))</f>
        <v/>
      </c>
      <c r="W192" s="195" t="str">
        <f t="shared" si="63"/>
        <v/>
      </c>
      <c r="X192" s="195" t="str">
        <f t="shared" si="64"/>
        <v/>
      </c>
      <c r="Y192" s="196" t="str">
        <f t="shared" si="65"/>
        <v/>
      </c>
      <c r="AA192" s="396">
        <f t="shared" si="61"/>
        <v>0</v>
      </c>
      <c r="AB192" s="396">
        <f t="shared" si="67"/>
        <v>0</v>
      </c>
      <c r="AC192" s="395"/>
      <c r="AE192" s="357" t="str">
        <f t="shared" si="54"/>
        <v/>
      </c>
      <c r="AF192" s="426">
        <f t="shared" si="59"/>
        <v>0</v>
      </c>
    </row>
    <row r="193" spans="1:32" ht="15" customHeight="1">
      <c r="A193" s="696"/>
      <c r="B193" s="698"/>
      <c r="C193" s="568"/>
      <c r="D193" s="368"/>
      <c r="E193" s="372"/>
      <c r="F193" s="357" t="str">
        <f t="shared" si="53"/>
        <v/>
      </c>
      <c r="G193" s="384"/>
      <c r="H193" s="190" t="str">
        <f>IF(AND(E193="",G193=""),"",SUM(F193:G195))</f>
        <v/>
      </c>
      <c r="I193" s="191"/>
      <c r="J193" s="222"/>
      <c r="K193" s="222"/>
      <c r="L193" s="197" t="str">
        <f>IF(J193="Duplex",VLOOKUP(M193,'Características dos Cabos M Lot'!$C$12:$I$14,7),(IF(J193="Triplex",VLOOKUP(M193,'Características dos Cabos M Lot'!$C$15:$J$20,8),(IF(J193="Quadruplex",VLOOKUP(M193,'Características dos Cabos M Lot'!$C$21:$K$27,9),(IF(J193="13",VLOOKUP(M193,'Características dos Cabos M Lot'!$C$15:$L$20,10),"")))))))</f>
        <v/>
      </c>
      <c r="M193" s="350" t="str">
        <f t="shared" si="55"/>
        <v/>
      </c>
      <c r="N193" s="377"/>
      <c r="O193" s="192" t="str">
        <f t="shared" si="60"/>
        <v/>
      </c>
      <c r="P193" s="192" t="str">
        <f>IF(O193="","",SUM($O$186:O193)+$Z$186)</f>
        <v/>
      </c>
      <c r="Q193" s="192" t="str">
        <f t="shared" si="56"/>
        <v/>
      </c>
      <c r="R193" s="193" t="str">
        <f>IF(J193="Duplex",VLOOKUP(M193,'Características dos Cabos MX CH'!$C$12:$I$14,5),(IF(J193="Triplex",VLOOKUP(M193,'Características dos Cabos MX CH'!$C$15:$J$20,5),(IF(J193="Quadruplex",VLOOKUP(M193,'Características dos Cabos MX CH'!$C$21:$K$27,5),(IF(J193="13",VLOOKUP(M193,'Características dos Cabos MX CH'!$C$15:$L$20,5),"")))))))</f>
        <v/>
      </c>
      <c r="S193" s="193" t="str">
        <f>IF(J193="Duplex",VLOOKUP(M193,'Características dos Cabos MX CH'!$C$12:$I$14,6),(IF(J193="Triplex",VLOOKUP(M193,'Características dos Cabos MX CH'!$C$15:$J$20,6),(IF(J193="Quadruplex",VLOOKUP(M193,'Características dos Cabos MX CH'!$C$21:$K$27,6),(IF(J193="13",VLOOKUP(M193,'Características dos Cabos MX CH'!$C$15:$L$20,6),"")))))))</f>
        <v/>
      </c>
      <c r="T193" s="194" t="str">
        <f t="shared" si="62"/>
        <v/>
      </c>
      <c r="U193" s="447" t="str">
        <f>IF(J193="Duplex",VLOOKUP(M193,'Características dos Cabos MX CH'!$C$12:$I$14,2),(IF(J193="Triplex",VLOOKUP(M193,'Características dos Cabos MX CH'!$C$15:$J$20,2),(IF(J193="Quadruplex",VLOOKUP(M193,'Características dos Cabos MX CH'!$C$21:$K$27,2),(IF(J193="13",VLOOKUP(M193,'Características dos Cabos MX CH'!$C$15:$L$20,2),"")))))))</f>
        <v/>
      </c>
      <c r="V193" s="193" t="str">
        <f>IF(J193="Duplex",VLOOKUP(M193,'Características dos Cabos MX CH'!$C$12:$I$14,3),(IF(J193="Triplex",VLOOKUP(M193,'Características dos Cabos MX CH'!$C$15:$J$20,3),(IF(J193="Quadruplex",VLOOKUP(M193,'Características dos Cabos MX CH'!$C$21:$K$27,3),(IF(J193="13",VLOOKUP(M193,'Características dos Cabos MX CH'!$C$15:$L$20,3),"")))))))</f>
        <v/>
      </c>
      <c r="W193" s="195" t="str">
        <f t="shared" si="63"/>
        <v/>
      </c>
      <c r="X193" s="195" t="str">
        <f t="shared" si="64"/>
        <v/>
      </c>
      <c r="Y193" s="196" t="str">
        <f t="shared" si="65"/>
        <v/>
      </c>
      <c r="AA193" s="396">
        <f t="shared" si="61"/>
        <v>0</v>
      </c>
      <c r="AB193" s="396">
        <f t="shared" si="67"/>
        <v>0</v>
      </c>
      <c r="AC193" s="395"/>
      <c r="AE193" s="357" t="str">
        <f t="shared" si="54"/>
        <v/>
      </c>
      <c r="AF193" s="426">
        <f t="shared" si="59"/>
        <v>0</v>
      </c>
    </row>
    <row r="194" spans="1:32" ht="15" customHeight="1">
      <c r="A194" s="696"/>
      <c r="B194" s="698"/>
      <c r="C194" s="568"/>
      <c r="D194" s="368"/>
      <c r="E194" s="372"/>
      <c r="F194" s="357" t="str">
        <f t="shared" si="53"/>
        <v/>
      </c>
      <c r="G194" s="384"/>
      <c r="H194" s="190" t="str">
        <f>IF(AND(E194="",G194=""),"",SUM(F194:G195))</f>
        <v/>
      </c>
      <c r="I194" s="191"/>
      <c r="J194" s="222"/>
      <c r="K194" s="222"/>
      <c r="L194" s="197" t="str">
        <f>IF(J194="Duplex",VLOOKUP(M194,'Características dos Cabos M Lot'!$C$12:$I$14,7),(IF(J194="Triplex",VLOOKUP(M194,'Características dos Cabos M Lot'!$C$15:$J$20,8),(IF(J194="Quadruplex",VLOOKUP(M194,'Características dos Cabos M Lot'!$C$21:$K$27,9),(IF(J194="13",VLOOKUP(M194,'Características dos Cabos M Lot'!$C$15:$L$20,10),"")))))))</f>
        <v/>
      </c>
      <c r="M194" s="350" t="str">
        <f t="shared" si="55"/>
        <v/>
      </c>
      <c r="N194" s="377"/>
      <c r="O194" s="192" t="str">
        <f t="shared" si="60"/>
        <v/>
      </c>
      <c r="P194" s="192" t="str">
        <f>IF(O194="","",SUM($O$186:O194)+$Z$186)</f>
        <v/>
      </c>
      <c r="Q194" s="192" t="str">
        <f t="shared" si="56"/>
        <v/>
      </c>
      <c r="R194" s="193" t="str">
        <f>IF(J194="Duplex",VLOOKUP(M194,'Características dos Cabos MX CH'!$C$12:$I$14,5),(IF(J194="Triplex",VLOOKUP(M194,'Características dos Cabos MX CH'!$C$15:$J$20,5),(IF(J194="Quadruplex",VLOOKUP(M194,'Características dos Cabos MX CH'!$C$21:$K$27,5),(IF(J194="13",VLOOKUP(M194,'Características dos Cabos MX CH'!$C$15:$L$20,5),"")))))))</f>
        <v/>
      </c>
      <c r="S194" s="193" t="str">
        <f>IF(J194="Duplex",VLOOKUP(M194,'Características dos Cabos MX CH'!$C$12:$I$14,6),(IF(J194="Triplex",VLOOKUP(M194,'Características dos Cabos MX CH'!$C$15:$J$20,6),(IF(J194="Quadruplex",VLOOKUP(M194,'Características dos Cabos MX CH'!$C$21:$K$27,6),(IF(J194="13",VLOOKUP(M194,'Características dos Cabos MX CH'!$C$15:$L$20,6),"")))))))</f>
        <v/>
      </c>
      <c r="T194" s="194" t="str">
        <f t="shared" si="62"/>
        <v/>
      </c>
      <c r="U194" s="447" t="str">
        <f>IF(J194="Duplex",VLOOKUP(M194,'Características dos Cabos MX CH'!$C$12:$I$14,2),(IF(J194="Triplex",VLOOKUP(M194,'Características dos Cabos MX CH'!$C$15:$J$20,2),(IF(J194="Quadruplex",VLOOKUP(M194,'Características dos Cabos MX CH'!$C$21:$K$27,2),(IF(J194="13",VLOOKUP(M194,'Características dos Cabos MX CH'!$C$15:$L$20,2),"")))))))</f>
        <v/>
      </c>
      <c r="V194" s="193" t="str">
        <f>IF(J194="Duplex",VLOOKUP(M194,'Características dos Cabos MX CH'!$C$12:$I$14,3),(IF(J194="Triplex",VLOOKUP(M194,'Características dos Cabos MX CH'!$C$15:$J$20,3),(IF(J194="Quadruplex",VLOOKUP(M194,'Características dos Cabos MX CH'!$C$21:$K$27,3),(IF(J194="13",VLOOKUP(M194,'Características dos Cabos MX CH'!$C$15:$L$20,3),"")))))))</f>
        <v/>
      </c>
      <c r="W194" s="195" t="str">
        <f t="shared" si="63"/>
        <v/>
      </c>
      <c r="X194" s="195" t="str">
        <f t="shared" si="64"/>
        <v/>
      </c>
      <c r="Y194" s="196" t="str">
        <f t="shared" si="65"/>
        <v/>
      </c>
      <c r="AA194" s="396">
        <f t="shared" si="61"/>
        <v>0</v>
      </c>
      <c r="AB194" s="396">
        <f t="shared" si="67"/>
        <v>0</v>
      </c>
      <c r="AC194" s="395"/>
      <c r="AE194" s="357" t="str">
        <f t="shared" si="54"/>
        <v/>
      </c>
      <c r="AF194" s="426">
        <f t="shared" si="59"/>
        <v>0</v>
      </c>
    </row>
    <row r="195" spans="1:32" ht="15" customHeight="1" thickBot="1">
      <c r="A195" s="697"/>
      <c r="B195" s="699"/>
      <c r="C195" s="570"/>
      <c r="D195" s="370"/>
      <c r="E195" s="373"/>
      <c r="F195" s="461" t="str">
        <f t="shared" si="53"/>
        <v/>
      </c>
      <c r="G195" s="385"/>
      <c r="H195" s="200" t="str">
        <f>IF(AND(E195="",G195=""),"",SUM(F195:G195))</f>
        <v/>
      </c>
      <c r="I195" s="201"/>
      <c r="J195" s="223"/>
      <c r="K195" s="223"/>
      <c r="L195" s="202" t="str">
        <f>IF(J195="Duplex",VLOOKUP(M195,'Características dos Cabos M Lot'!$C$12:$I$14,7),(IF(J195="Triplex",VLOOKUP(M195,'Características dos Cabos M Lot'!$C$15:$J$20,8),(IF(J195="Quadruplex",VLOOKUP(M195,'Características dos Cabos M Lot'!$C$21:$K$27,9),(IF(J195="13",VLOOKUP(M195,'Características dos Cabos M Lot'!$C$15:$L$20,10),"")))))))</f>
        <v/>
      </c>
      <c r="M195" s="353" t="str">
        <f t="shared" si="55"/>
        <v/>
      </c>
      <c r="N195" s="378"/>
      <c r="O195" s="203" t="str">
        <f t="shared" si="60"/>
        <v/>
      </c>
      <c r="P195" s="203" t="str">
        <f>IF(O195="","",SUM($O$186:O195)+$Z$186)</f>
        <v/>
      </c>
      <c r="Q195" s="203" t="str">
        <f t="shared" si="56"/>
        <v/>
      </c>
      <c r="R195" s="204" t="str">
        <f>IF(J195="Duplex",VLOOKUP(M195,'Características dos Cabos MX CH'!$C$12:$I$14,5),(IF(J195="Triplex",VLOOKUP(M195,'Características dos Cabos MX CH'!$C$15:$J$20,5),(IF(J195="Quadruplex",VLOOKUP(M195,'Características dos Cabos MX CH'!$C$21:$K$27,5),(IF(J195="13",VLOOKUP(M195,'Características dos Cabos MX CH'!$C$15:$L$20,5),"")))))))</f>
        <v/>
      </c>
      <c r="S195" s="204" t="str">
        <f>IF(J195="Duplex",VLOOKUP(M195,'Características dos Cabos MX CH'!$C$12:$I$14,6),(IF(J195="Triplex",VLOOKUP(M195,'Características dos Cabos MX CH'!$C$15:$J$20,6),(IF(J195="Quadruplex",VLOOKUP(M195,'Características dos Cabos MX CH'!$C$21:$K$27,6),(IF(J195="13",VLOOKUP(M195,'Características dos Cabos MX CH'!$C$15:$L$20,6),"")))))))</f>
        <v/>
      </c>
      <c r="T195" s="561" t="str">
        <f t="shared" si="62"/>
        <v/>
      </c>
      <c r="U195" s="448" t="str">
        <f>IF(J195="Duplex",VLOOKUP(M195,'Características dos Cabos MX CH'!$C$12:$I$14,2),(IF(J195="Triplex",VLOOKUP(M195,'Características dos Cabos MX CH'!$C$15:$J$20,2),(IF(J195="Quadruplex",VLOOKUP(M195,'Características dos Cabos MX CH'!$C$21:$K$27,2),(IF(J195="13",VLOOKUP(M195,'Características dos Cabos MX CH'!$C$15:$L$20,2),"")))))))</f>
        <v/>
      </c>
      <c r="V195" s="204" t="str">
        <f>IF(J195="Duplex",VLOOKUP(M195,'Características dos Cabos MX CH'!$C$12:$I$14,3),(IF(J195="Triplex",VLOOKUP(M195,'Características dos Cabos MX CH'!$C$15:$J$20,3),(IF(J195="Quadruplex",VLOOKUP(M195,'Características dos Cabos MX CH'!$C$21:$K$27,3),(IF(J195="13",VLOOKUP(M195,'Características dos Cabos MX CH'!$C$15:$L$20,3),"")))))))</f>
        <v/>
      </c>
      <c r="W195" s="206" t="str">
        <f t="shared" si="63"/>
        <v/>
      </c>
      <c r="X195" s="206" t="str">
        <f t="shared" si="64"/>
        <v/>
      </c>
      <c r="Y195" s="207" t="str">
        <f t="shared" si="65"/>
        <v/>
      </c>
      <c r="AA195" s="396">
        <f t="shared" si="61"/>
        <v>0</v>
      </c>
      <c r="AB195" s="396">
        <f t="shared" si="67"/>
        <v>0</v>
      </c>
      <c r="AC195" s="395"/>
      <c r="AE195" s="357" t="str">
        <f t="shared" si="54"/>
        <v/>
      </c>
      <c r="AF195" s="426">
        <f t="shared" si="59"/>
        <v>0</v>
      </c>
    </row>
    <row r="196" ht="13.5" thickTop="1"/>
    <row r="197" spans="1:1" ht="12.75">
      <c r="A197" t="s">
        <v>127</v>
      </c>
    </row>
  </sheetData>
  <sheetProtection algorithmName="SHA-512" hashValue="ZjvtWM06LAP32JwGNiEeIFBdMdSvzo9y6CVv04wXXks0ZM50vej+pDrnYs+Zz+kMovHKC3VwsjxN2N5O34iSsA==" saltValue="KAVFnahBIjEElGfHRgghLA==" spinCount="100000" sheet="1" selectLockedCells="1"/>
  <customSheetViews>
    <customSheetView guid="{adcfddaa-af71-42ce-8fd7-7abb67cb940b}" hiddenColumns="1" printArea="1" scale="60" showGridLines="0" showPageBreaks="1" topLeftCell="A1" view="pageBreakPreview">
      <selection pane="topLeft" activeCell="Y14" sqref="Y14"/>
      <rowBreaks count="5" manualBreakCount="5">
        <brk id="44" max="16383" man="1"/>
        <brk id="74" max="16383" man="1"/>
        <brk id="104" max="16383" man="1"/>
        <brk id="134" max="16383" man="1"/>
        <brk id="164" max="16383" man="1"/>
      </rowBreaks>
      <colBreaks count="1" manualBreakCount="1">
        <brk id="25" max="1048575" man="1"/>
      </colBreaks>
      <pageMargins left="0" right="0" top="0" bottom="0" header="0" footer="0"/>
      <printOptions horizontalCentered="1"/>
      <pageSetup horizontalDpi="300" verticalDpi="300" orientation="landscape" paperSize="9" scale="76" r:id="rId6"/>
      <headerFooter alignWithMargins="0"/>
    </customSheetView>
  </customSheetViews>
  <mergeCells count="69">
    <mergeCell ref="C32:D32"/>
    <mergeCell ref="B32:B44"/>
    <mergeCell ref="J8:N8"/>
    <mergeCell ref="B176:B185"/>
    <mergeCell ref="B186:B195"/>
    <mergeCell ref="E17:E18"/>
    <mergeCell ref="K17:K18"/>
    <mergeCell ref="L17:L18"/>
    <mergeCell ref="N17:N18"/>
    <mergeCell ref="K12:L12"/>
    <mergeCell ref="N12:O12"/>
    <mergeCell ref="E10:G10"/>
    <mergeCell ref="E11:F11"/>
    <mergeCell ref="A46:A195"/>
    <mergeCell ref="B46:B55"/>
    <mergeCell ref="B56:B65"/>
    <mergeCell ref="B66:B75"/>
    <mergeCell ref="B76:B85"/>
    <mergeCell ref="B86:B95"/>
    <mergeCell ref="B96:B105"/>
    <mergeCell ref="B106:B115"/>
    <mergeCell ref="B116:B125"/>
    <mergeCell ref="B126:B135"/>
    <mergeCell ref="B136:B145"/>
    <mergeCell ref="B146:B155"/>
    <mergeCell ref="B156:B165"/>
    <mergeCell ref="B166:B175"/>
    <mergeCell ref="AE18:AF18"/>
    <mergeCell ref="C14:D14"/>
    <mergeCell ref="E14:G14"/>
    <mergeCell ref="H14:J14"/>
    <mergeCell ref="Y17:Y18"/>
    <mergeCell ref="G17:G18"/>
    <mergeCell ref="H17:H18"/>
    <mergeCell ref="J17:J18"/>
    <mergeCell ref="X17:X18"/>
    <mergeCell ref="U17:U18"/>
    <mergeCell ref="W17:W18"/>
    <mergeCell ref="R17:R18"/>
    <mergeCell ref="T17:T18"/>
    <mergeCell ref="S17:S18"/>
    <mergeCell ref="K14:L14"/>
    <mergeCell ref="N14:O14"/>
    <mergeCell ref="A1:Y1"/>
    <mergeCell ref="C10:D10"/>
    <mergeCell ref="H10:J10"/>
    <mergeCell ref="C12:D12"/>
    <mergeCell ref="N10:O10"/>
    <mergeCell ref="T10:Y10"/>
    <mergeCell ref="P10:Q10"/>
    <mergeCell ref="K10:L10"/>
    <mergeCell ref="P7:Y7"/>
    <mergeCell ref="P8:Y8"/>
    <mergeCell ref="Q17:Q18"/>
    <mergeCell ref="A19:A44"/>
    <mergeCell ref="A5:Y5"/>
    <mergeCell ref="A2:Y2"/>
    <mergeCell ref="D8:G8"/>
    <mergeCell ref="D7:G7"/>
    <mergeCell ref="I7:N7"/>
    <mergeCell ref="P17:P18"/>
    <mergeCell ref="O17:O18"/>
    <mergeCell ref="B19:B31"/>
    <mergeCell ref="C19:D19"/>
    <mergeCell ref="C17:D17"/>
    <mergeCell ref="E12:G12"/>
    <mergeCell ref="H12:J12"/>
    <mergeCell ref="T14:Y14"/>
    <mergeCell ref="P14:Q14"/>
  </mergeCells>
  <conditionalFormatting sqref="Q15">
    <cfRule type="cellIs" priority="1" dxfId="1" operator="equal">
      <formula>"Dividir Área BT"</formula>
    </cfRule>
  </conditionalFormatting>
  <dataValidations count="6">
    <dataValidation type="list" allowBlank="1" showInputMessage="1" showErrorMessage="1" sqref="J20:J31 J33:J195">
      <formula1>Descrição</formula1>
    </dataValidation>
    <dataValidation type="list" allowBlank="1" showInputMessage="1" showErrorMessage="1" sqref="K20:K31 K33:K195">
      <formula1>INDIRECT(J20)</formula1>
    </dataValidation>
    <dataValidation type="list" allowBlank="1" showInputMessage="1" showErrorMessage="1" sqref="D13">
      <formula1>Sheet2!$F$2:$F$3</formula1>
    </dataValidation>
    <dataValidation type="list" allowBlank="1" showInputMessage="1" showErrorMessage="1" sqref="D15">
      <formula1>Sheet2!$G$2:$G$3</formula1>
    </dataValidation>
    <dataValidation type="list" allowBlank="1" showInputMessage="1" showErrorMessage="1" sqref="J13">
      <formula1>Sheet2!$I$2:$I$3</formula1>
    </dataValidation>
    <dataValidation type="list" allowBlank="1" showInputMessage="1" showErrorMessage="1" sqref="L11">
      <formula1>Sheet2!$K$2:$K$3</formula1>
    </dataValidation>
  </dataValidations>
  <printOptions horizontalCentered="1"/>
  <pageMargins left="0.393700787401575" right="0.393700787401575" top="0.393700787401575" bottom="0.393700787401575" header="0.511811023622047" footer="0.511811023622047"/>
  <pageSetup horizontalDpi="300" verticalDpi="300" orientation="landscape" paperSize="9" scale="53" r:id="rId5"/>
  <headerFooter alignWithMargins="0"/>
  <rowBreaks count="5" manualBreakCount="5">
    <brk id="45" max="32" man="1"/>
    <brk id="75" max="16383" man="1"/>
    <brk id="105" max="16383" man="1"/>
    <brk id="135" max="16383" man="1"/>
    <brk id="165" max="16383" man="1"/>
  </rowBreaks>
  <colBreaks count="1" manualBreakCount="1">
    <brk id="31" max="194" man="1"/>
  </colBreaks>
  <ignoredErrors>
    <ignoredError sqref="Y45" 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16" r:id="rId2" name="Button 8">
              <controlPr defaultSize="0" print="0" autoLine="0" autoPict="0" macro="[0]!Macro1">
                <anchor moveWithCells="1" sizeWithCells="1">
                  <from>
                    <xdr:col>24</xdr:col>
                    <xdr:colOff>342900</xdr:colOff>
                    <xdr:row>2</xdr:row>
                    <xdr:rowOff>133350</xdr:rowOff>
                  </from>
                  <to>
                    <xdr:col>24</xdr:col>
                    <xdr:colOff>1028700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28"/>
  <sheetViews>
    <sheetView showGridLines="0" view="pageBreakPreview" zoomScale="87" zoomScaleNormal="75" zoomScaleSheetLayoutView="87" workbookViewId="0" topLeftCell="A7">
      <selection pane="topLeft" activeCell="L24" sqref="L24"/>
    </sheetView>
  </sheetViews>
  <sheetFormatPr defaultRowHeight="12.75"/>
  <cols>
    <col min="1" max="1" width="14.7142857142857" customWidth="1"/>
    <col min="2" max="2" width="18.7142857142857" customWidth="1"/>
    <col min="3" max="3" width="10.7142857142857" customWidth="1"/>
    <col min="4" max="4" width="12.4285714285714" customWidth="1"/>
    <col min="5" max="5" width="11.7142857142857" customWidth="1"/>
    <col min="6" max="6" width="11.5714285714286" customWidth="1"/>
    <col min="7" max="7" width="11" customWidth="1"/>
    <col min="8" max="9" width="10.4285714285714" customWidth="1"/>
    <col min="10" max="10" width="10.7142857142857" customWidth="1"/>
    <col min="11" max="11" width="11.7142857142857" customWidth="1"/>
    <col min="12" max="12" width="13.2857142857143" customWidth="1"/>
  </cols>
  <sheetData>
    <row r="1" spans="1:18" ht="11.25" customHeight="1">
      <c r="A1" s="331"/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3"/>
      <c r="M1" s="15"/>
      <c r="N1" s="15"/>
      <c r="O1" s="15"/>
      <c r="P1" s="15"/>
      <c r="Q1" s="15"/>
      <c r="R1" s="15"/>
    </row>
    <row r="2" spans="1:27" ht="12.75">
      <c r="A2" s="710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2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713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714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1:12" ht="12.75">
      <c r="A4" s="334"/>
      <c r="L4" s="335"/>
    </row>
    <row r="5" spans="1:12" ht="12.75">
      <c r="A5" s="334"/>
      <c r="L5" s="335"/>
    </row>
    <row r="6" spans="1:14" ht="12.75">
      <c r="A6" s="334"/>
      <c r="L6" s="335"/>
      <c r="N6">
        <f>ACOS('BT-MX (LOTEAMENTO)'!G13)/PI()*180</f>
        <v>90</v>
      </c>
    </row>
    <row r="7" spans="1:14" ht="12.75">
      <c r="A7" s="336"/>
      <c r="B7" s="171"/>
      <c r="C7" s="171"/>
      <c r="D7" s="171"/>
      <c r="E7" s="171"/>
      <c r="F7" s="171"/>
      <c r="G7" s="171"/>
      <c r="H7" s="171"/>
      <c r="I7" s="171"/>
      <c r="J7" s="171"/>
      <c r="L7" s="337"/>
      <c r="N7" s="171">
        <f>COS(N6*PI()/180)</f>
        <v>6.123233995736766E-17</v>
      </c>
    </row>
    <row r="8" spans="1:12" ht="18">
      <c r="A8" s="715" t="s">
        <v>128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716"/>
    </row>
    <row r="9" spans="1:12" ht="13.5" thickBot="1">
      <c r="A9" s="95"/>
      <c r="B9" s="2"/>
      <c r="C9" s="2"/>
      <c r="D9" s="2"/>
      <c r="E9" s="2"/>
      <c r="F9" s="2"/>
      <c r="G9" s="2"/>
      <c r="H9" s="2"/>
      <c r="I9" s="2"/>
      <c r="J9" s="2"/>
      <c r="K9" s="2"/>
      <c r="L9" s="102"/>
    </row>
    <row r="10" spans="1:12" ht="33" customHeight="1">
      <c r="A10" s="707" t="s">
        <v>129</v>
      </c>
      <c r="B10" s="717" t="s">
        <v>130</v>
      </c>
      <c r="C10" s="138"/>
      <c r="D10" s="719" t="s">
        <v>131</v>
      </c>
      <c r="E10" s="719"/>
      <c r="F10" s="719" t="s">
        <v>132</v>
      </c>
      <c r="G10" s="721" t="s">
        <v>133</v>
      </c>
      <c r="H10" s="721"/>
      <c r="I10" s="722" t="s">
        <v>134</v>
      </c>
      <c r="J10" s="722"/>
      <c r="K10" s="722"/>
      <c r="L10" s="723"/>
    </row>
    <row r="11" spans="1:12" ht="15" customHeight="1" thickBot="1">
      <c r="A11" s="709"/>
      <c r="B11" s="718"/>
      <c r="C11" s="139"/>
      <c r="D11" s="414" t="s">
        <v>135</v>
      </c>
      <c r="E11" s="414" t="s">
        <v>121</v>
      </c>
      <c r="F11" s="720"/>
      <c r="G11" s="139" t="s">
        <v>135</v>
      </c>
      <c r="H11" s="139" t="s">
        <v>121</v>
      </c>
      <c r="I11" s="139">
        <v>1</v>
      </c>
      <c r="J11" s="139">
        <v>2</v>
      </c>
      <c r="K11" s="139">
        <v>3</v>
      </c>
      <c r="L11" s="140">
        <v>13</v>
      </c>
    </row>
    <row r="12" spans="1:12" ht="15" customHeight="1" thickBot="1">
      <c r="A12" s="707" t="s">
        <v>136</v>
      </c>
      <c r="B12" s="141" t="s">
        <v>137</v>
      </c>
      <c r="C12" s="142" t="s">
        <v>59</v>
      </c>
      <c r="D12" s="415">
        <v>3.8719999999999999</v>
      </c>
      <c r="E12" s="415">
        <f>D12</f>
        <v>3.8719999999999999</v>
      </c>
      <c r="F12" s="415">
        <v>0.1033</v>
      </c>
      <c r="G12" s="143">
        <v>55</v>
      </c>
      <c r="H12" s="143">
        <v>71</v>
      </c>
      <c r="I12" s="144" t="e">
        <f>300*((D12+D12)*COS(PI()*$N$6/180)+(F12+F12)*SIN(PI()*$N$6/180))/('BT-MX (LOTEAMENTO)'!$D$13^2)</f>
        <v>#DIV/0!</v>
      </c>
      <c r="J12" s="144"/>
      <c r="K12" s="144"/>
      <c r="L12" s="145"/>
    </row>
    <row r="13" spans="1:12" ht="15" customHeight="1" thickBot="1">
      <c r="A13" s="708"/>
      <c r="B13" s="146" t="s">
        <v>138</v>
      </c>
      <c r="C13" s="147" t="s">
        <v>70</v>
      </c>
      <c r="D13" s="416">
        <v>2.4489999999999998</v>
      </c>
      <c r="E13" s="416">
        <f t="shared" si="0" ref="E13:E27">D13</f>
        <v>2.4489999999999998</v>
      </c>
      <c r="F13" s="416">
        <v>0.1032</v>
      </c>
      <c r="G13" s="148">
        <v>88</v>
      </c>
      <c r="H13" s="148">
        <v>102</v>
      </c>
      <c r="I13" s="144" t="e">
        <f>300*((D13+D13)*COS(PI()*$N$6/180)+(F13+F13)*SIN(PI()*$N$6/180))/('BT-MX (LOTEAMENTO)'!$D$13^2)</f>
        <v>#DIV/0!</v>
      </c>
      <c r="J13" s="137"/>
      <c r="K13" s="137"/>
      <c r="L13" s="149"/>
    </row>
    <row r="14" spans="1:12" ht="15" customHeight="1" thickBot="1">
      <c r="A14" s="709"/>
      <c r="B14" s="150" t="s">
        <v>139</v>
      </c>
      <c r="C14" s="151" t="s">
        <v>76</v>
      </c>
      <c r="D14" s="417">
        <v>1.5389999999999999</v>
      </c>
      <c r="E14" s="417">
        <f t="shared" si="0"/>
        <v>1.5389999999999999</v>
      </c>
      <c r="F14" s="417">
        <v>0.1007</v>
      </c>
      <c r="G14" s="152">
        <v>122</v>
      </c>
      <c r="H14" s="152">
        <v>143</v>
      </c>
      <c r="I14" s="144" t="e">
        <f>300*((D14+D14)*COS(PI()*$N$6/180)+(F14+F14)*SIN(PI()*$N$6/180))/('BT-MX (LOTEAMENTO)'!$D$13^2)</f>
        <v>#DIV/0!</v>
      </c>
      <c r="J14" s="153"/>
      <c r="K14" s="153"/>
      <c r="L14" s="154"/>
    </row>
    <row r="15" spans="1:12" ht="15" customHeight="1" thickBot="1">
      <c r="A15" s="707" t="s">
        <v>140</v>
      </c>
      <c r="B15" s="141" t="s">
        <v>141</v>
      </c>
      <c r="C15" s="142" t="s">
        <v>59</v>
      </c>
      <c r="D15" s="415">
        <v>3.8719999999999999</v>
      </c>
      <c r="E15" s="415">
        <f t="shared" si="0"/>
        <v>3.8719999999999999</v>
      </c>
      <c r="F15" s="415">
        <v>0.1084</v>
      </c>
      <c r="G15" s="143">
        <v>55</v>
      </c>
      <c r="H15" s="143">
        <v>71</v>
      </c>
      <c r="I15" s="144"/>
      <c r="J15" s="144" t="e">
        <f>150*((D15+0.5*D15)*COS(PI()*$N$6/180)+(F15+0.5*F15)*SIN(PI()*$N$6/180))/('BT-MX (LOTEAMENTO)'!$D$13^2)</f>
        <v>#DIV/0!</v>
      </c>
      <c r="K15" s="144"/>
      <c r="L15" s="388">
        <v>0.0104</v>
      </c>
    </row>
    <row r="16" spans="1:12" ht="15" customHeight="1" thickBot="1">
      <c r="A16" s="708"/>
      <c r="B16" s="146" t="s">
        <v>142</v>
      </c>
      <c r="C16" s="147" t="s">
        <v>70</v>
      </c>
      <c r="D16" s="416">
        <v>2.4489999999999998</v>
      </c>
      <c r="E16" s="416">
        <f t="shared" si="0"/>
        <v>2.4489999999999998</v>
      </c>
      <c r="F16" s="416">
        <v>0.107</v>
      </c>
      <c r="G16" s="148">
        <v>88</v>
      </c>
      <c r="H16" s="148">
        <v>102</v>
      </c>
      <c r="I16" s="137"/>
      <c r="J16" s="144" t="e">
        <f>150*((D16+0.5*D16)*COS(PI()*$N$6/180)+(F16+0.5*F16)*SIN(PI()*$N$6/180))/('BT-MX (LOTEAMENTO)'!$D$13^2)</f>
        <v>#DIV/0!</v>
      </c>
      <c r="K16" s="137"/>
      <c r="L16" s="389">
        <v>0.00662</v>
      </c>
    </row>
    <row r="17" spans="1:12" ht="15" customHeight="1" thickBot="1">
      <c r="A17" s="708"/>
      <c r="B17" s="146" t="s">
        <v>143</v>
      </c>
      <c r="C17" s="147" t="s">
        <v>76</v>
      </c>
      <c r="D17" s="416">
        <v>1.5389999999999999</v>
      </c>
      <c r="E17" s="416">
        <f t="shared" si="0"/>
        <v>1.5389999999999999</v>
      </c>
      <c r="F17" s="416">
        <v>0.1047</v>
      </c>
      <c r="G17" s="148">
        <v>122</v>
      </c>
      <c r="H17" s="148">
        <v>143</v>
      </c>
      <c r="I17" s="137"/>
      <c r="J17" s="144" t="e">
        <f>150*((D17+0.5*D17)*COS(PI()*$N$6/180)+(F17+0.5*F17)*SIN(PI()*$N$6/180))/('BT-MX (LOTEAMENTO)'!$D$13^2)</f>
        <v>#DIV/0!</v>
      </c>
      <c r="K17" s="137"/>
      <c r="L17" s="389">
        <v>0.0042199999999999998</v>
      </c>
    </row>
    <row r="18" spans="1:12" ht="15" customHeight="1" thickBot="1">
      <c r="A18" s="708"/>
      <c r="B18" s="146" t="s">
        <v>144</v>
      </c>
      <c r="C18" s="147" t="s">
        <v>74</v>
      </c>
      <c r="D18" s="416">
        <v>1.113</v>
      </c>
      <c r="E18" s="416">
        <f t="shared" si="0"/>
        <v>1.113</v>
      </c>
      <c r="F18" s="416">
        <v>0.1048</v>
      </c>
      <c r="G18" s="148">
        <v>149</v>
      </c>
      <c r="H18" s="148">
        <v>175</v>
      </c>
      <c r="I18" s="137"/>
      <c r="J18" s="144" t="e">
        <f>150*((D18+0.5*D18)*COS(PI()*$N$6/180)+(F18+0.5*F18)*SIN(PI()*$N$6/180))/('BT-MX (LOTEAMENTO)'!$D$13^2)</f>
        <v>#DIV/0!</v>
      </c>
      <c r="K18" s="137"/>
      <c r="L18" s="389">
        <v>0.0031099999999999999</v>
      </c>
    </row>
    <row r="19" spans="1:12" ht="15" customHeight="1" thickBot="1">
      <c r="A19" s="708"/>
      <c r="B19" s="146" t="s">
        <v>145</v>
      </c>
      <c r="C19" s="147" t="s">
        <v>83</v>
      </c>
      <c r="D19" s="416">
        <v>0.82199999999999995</v>
      </c>
      <c r="E19" s="416">
        <f t="shared" si="0"/>
        <v>0.82199999999999995</v>
      </c>
      <c r="F19" s="416">
        <v>0.1028</v>
      </c>
      <c r="G19" s="148">
        <v>178</v>
      </c>
      <c r="H19" s="148">
        <v>211</v>
      </c>
      <c r="I19" s="137"/>
      <c r="J19" s="144" t="e">
        <f>150*((D19+0.5*D19)*COS(PI()*$N$6/180)+(F19+0.5*F19)*SIN(PI()*$N$6/180))/('BT-MX (LOTEAMENTO)'!$D$13^2)</f>
        <v>#DIV/0!</v>
      </c>
      <c r="K19" s="137"/>
      <c r="L19" s="389">
        <v>0.0023400000000000001</v>
      </c>
    </row>
    <row r="20" spans="1:12" ht="15" customHeight="1" thickBot="1">
      <c r="A20" s="709"/>
      <c r="B20" s="150" t="s">
        <v>146</v>
      </c>
      <c r="C20" s="151" t="s">
        <v>78</v>
      </c>
      <c r="D20" s="417">
        <v>0.56899999999999995</v>
      </c>
      <c r="E20" s="417">
        <f t="shared" si="0"/>
        <v>0.56899999999999995</v>
      </c>
      <c r="F20" s="417">
        <v>0.098000000000000004</v>
      </c>
      <c r="G20" s="152">
        <v>220</v>
      </c>
      <c r="H20" s="152">
        <v>268</v>
      </c>
      <c r="I20" s="153"/>
      <c r="J20" s="144" t="e">
        <f>150*((D20+0.5*D20)*COS(PI()*$N$6/180)+(F20+0.5*F20)*SIN(PI()*$N$6/180))/('BT-MX (LOTEAMENTO)'!$D$13^2)</f>
        <v>#DIV/0!</v>
      </c>
      <c r="K20" s="153"/>
      <c r="L20" s="390">
        <v>0.016799999999999999</v>
      </c>
    </row>
    <row r="21" spans="1:12" ht="15" customHeight="1" thickBot="1">
      <c r="A21" s="707" t="s">
        <v>147</v>
      </c>
      <c r="B21" s="141" t="s">
        <v>148</v>
      </c>
      <c r="C21" s="142" t="s">
        <v>59</v>
      </c>
      <c r="D21" s="415">
        <v>3.8719999999999999</v>
      </c>
      <c r="E21" s="415">
        <f t="shared" si="0"/>
        <v>3.8719999999999999</v>
      </c>
      <c r="F21" s="415">
        <v>0.1138</v>
      </c>
      <c r="G21" s="143">
        <v>43</v>
      </c>
      <c r="H21" s="143">
        <v>62</v>
      </c>
      <c r="I21" s="144"/>
      <c r="J21" s="144"/>
      <c r="K21" s="144" t="e">
        <f>100*(D21*COS(PI()*$N$6/180)+F21*SIN(PI()*$N$6/180))/('BT-MX (LOTEAMENTO)'!$D$13^2)</f>
        <v>#DIV/0!</v>
      </c>
      <c r="L21" s="145"/>
    </row>
    <row r="22" spans="1:12" ht="15" customHeight="1" thickBot="1">
      <c r="A22" s="708"/>
      <c r="B22" s="146" t="s">
        <v>149</v>
      </c>
      <c r="C22" s="147" t="s">
        <v>70</v>
      </c>
      <c r="D22" s="416">
        <v>2.4489999999999998</v>
      </c>
      <c r="E22" s="416">
        <f t="shared" si="0"/>
        <v>2.4489999999999998</v>
      </c>
      <c r="F22" s="416">
        <v>0.1087</v>
      </c>
      <c r="G22" s="148">
        <v>78</v>
      </c>
      <c r="H22" s="148">
        <v>90</v>
      </c>
      <c r="I22" s="137"/>
      <c r="J22" s="137"/>
      <c r="K22" s="144" t="e">
        <f>100*(D22*COS(PI()*$N$6/180)+F22*SIN(PI()*$N$6/180))/('BT-MX (LOTEAMENTO)'!$D$13^2)</f>
        <v>#DIV/0!</v>
      </c>
      <c r="L22" s="149"/>
    </row>
    <row r="23" spans="1:12" ht="15" customHeight="1" thickBot="1">
      <c r="A23" s="708"/>
      <c r="B23" s="146" t="s">
        <v>150</v>
      </c>
      <c r="C23" s="147" t="s">
        <v>76</v>
      </c>
      <c r="D23" s="416">
        <v>1.5389999999999999</v>
      </c>
      <c r="E23" s="416">
        <f t="shared" si="0"/>
        <v>1.5389999999999999</v>
      </c>
      <c r="F23" s="416">
        <v>0.1076</v>
      </c>
      <c r="G23" s="148">
        <v>104</v>
      </c>
      <c r="H23" s="148">
        <v>122</v>
      </c>
      <c r="I23" s="137"/>
      <c r="J23" s="137"/>
      <c r="K23" s="144" t="e">
        <f>100*(D23*COS(PI()*$N$6/180)+F23*SIN(PI()*$N$6/180))/('BT-MX (LOTEAMENTO)'!$D$13^2)</f>
        <v>#DIV/0!</v>
      </c>
      <c r="L23" s="149"/>
    </row>
    <row r="24" spans="1:12" ht="15" customHeight="1" thickBot="1">
      <c r="A24" s="708"/>
      <c r="B24" s="146" t="s">
        <v>151</v>
      </c>
      <c r="C24" s="147" t="s">
        <v>74</v>
      </c>
      <c r="D24" s="416">
        <v>1.1201000000000001</v>
      </c>
      <c r="E24" s="416">
        <f t="shared" si="0"/>
        <v>1.1201000000000001</v>
      </c>
      <c r="F24" s="416">
        <v>0.1135</v>
      </c>
      <c r="G24" s="148">
        <v>126</v>
      </c>
      <c r="H24" s="148">
        <v>148</v>
      </c>
      <c r="I24" s="137"/>
      <c r="J24" s="137"/>
      <c r="K24" s="144" t="e">
        <f>100*(D24*COS(PI()*$N$6/180)+F24*SIN(PI()*$N$6/180))/('BT-MX (LOTEAMENTO)'!$D$13^2)</f>
        <v>#DIV/0!</v>
      </c>
      <c r="L24" s="149"/>
    </row>
    <row r="25" spans="1:12" ht="15" customHeight="1" thickBot="1">
      <c r="A25" s="708"/>
      <c r="B25" s="146" t="s">
        <v>152</v>
      </c>
      <c r="C25" s="147" t="s">
        <v>83</v>
      </c>
      <c r="D25" s="416">
        <v>0.8327</v>
      </c>
      <c r="E25" s="416">
        <f t="shared" si="0"/>
        <v>0.8327</v>
      </c>
      <c r="F25" s="416">
        <v>0.1115</v>
      </c>
      <c r="G25" s="148">
        <v>152</v>
      </c>
      <c r="H25" s="148">
        <v>180</v>
      </c>
      <c r="I25" s="137"/>
      <c r="J25" s="137"/>
      <c r="K25" s="144" t="e">
        <f>100*(D25*COS(PI()*$N$6/180)+F25*SIN(PI()*$N$6/180))/('BT-MX (LOTEAMENTO)'!$D$13^2)</f>
        <v>#DIV/0!</v>
      </c>
      <c r="L25" s="149"/>
    </row>
    <row r="26" spans="1:12" ht="15" customHeight="1" thickBot="1">
      <c r="A26" s="708"/>
      <c r="B26" s="146" t="s">
        <v>153</v>
      </c>
      <c r="C26" s="147" t="s">
        <v>78</v>
      </c>
      <c r="D26" s="416">
        <v>0.57869999999999999</v>
      </c>
      <c r="E26" s="416">
        <f t="shared" si="0"/>
        <v>0.57869999999999999</v>
      </c>
      <c r="F26" s="416">
        <v>0.1067</v>
      </c>
      <c r="G26" s="148">
        <v>190</v>
      </c>
      <c r="H26" s="148">
        <v>225</v>
      </c>
      <c r="I26" s="137"/>
      <c r="J26" s="137"/>
      <c r="K26" s="144" t="e">
        <f>100*(D26*COS(PI()*$N$6/180)+F26*SIN(PI()*$N$6/180))/('BT-MX (LOTEAMENTO)'!$D$13^2)</f>
        <v>#DIV/0!</v>
      </c>
      <c r="L26" s="149"/>
    </row>
    <row r="27" spans="1:12" ht="15" customHeight="1" thickBot="1">
      <c r="A27" s="709"/>
      <c r="B27" s="150" t="s">
        <v>154</v>
      </c>
      <c r="C27" s="151" t="s">
        <v>86</v>
      </c>
      <c r="D27" s="417">
        <v>0.34239999999999998</v>
      </c>
      <c r="E27" s="417">
        <f t="shared" si="0"/>
        <v>0.34239999999999998</v>
      </c>
      <c r="F27" s="417">
        <v>0.098799999999999999</v>
      </c>
      <c r="G27" s="152">
        <v>268</v>
      </c>
      <c r="H27" s="152">
        <v>319</v>
      </c>
      <c r="I27" s="153"/>
      <c r="J27" s="153"/>
      <c r="K27" s="144" t="e">
        <f>100*(D27*COS(PI()*$N$6/180)+F27*SIN(PI()*$N$6/180))/('BT-MX (LOTEAMENTO)'!$D$13^2)</f>
        <v>#DIV/0!</v>
      </c>
      <c r="L27" s="154"/>
    </row>
    <row r="28" spans="3:3" ht="12.75">
      <c r="C28" s="136"/>
    </row>
  </sheetData>
  <mergeCells count="12">
    <mergeCell ref="A12:A14"/>
    <mergeCell ref="A15:A20"/>
    <mergeCell ref="A21:A27"/>
    <mergeCell ref="A2:L2"/>
    <mergeCell ref="A3:L3"/>
    <mergeCell ref="A8:L8"/>
    <mergeCell ref="A10:A11"/>
    <mergeCell ref="B10:B11"/>
    <mergeCell ref="D10:E10"/>
    <mergeCell ref="F10:F11"/>
    <mergeCell ref="G10:H10"/>
    <mergeCell ref="I10:L10"/>
  </mergeCells>
  <printOptions horizontalCentered="1"/>
  <pageMargins left="0.393700787401575" right="0.393700787401575" top="0.78740157480315" bottom="0.78740157480315" header="0.511811023622047" footer="0.511811023622047"/>
  <pageSetup horizontalDpi="300" verticalDpi="300" orientation="landscape" paperSize="9" scale="90" r:id="rId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5"/>
  <dimension ref="A1:AA30"/>
  <sheetViews>
    <sheetView showGridLines="0" view="pageBreakPreview" zoomScale="87" zoomScaleNormal="75" zoomScaleSheetLayoutView="87" workbookViewId="0" topLeftCell="A7">
      <selection pane="topLeft" activeCell="F25" sqref="F25"/>
    </sheetView>
  </sheetViews>
  <sheetFormatPr defaultRowHeight="12.75"/>
  <cols>
    <col min="2" max="2" width="10.7142857142857" customWidth="1"/>
    <col min="3" max="3" width="10.5714285714286" customWidth="1"/>
    <col min="4" max="4" width="9.28571428571429" hidden="1" customWidth="1"/>
    <col min="5" max="5" width="11" customWidth="1"/>
    <col min="6" max="7" width="11.7142857142857" customWidth="1"/>
    <col min="8" max="9" width="10.4285714285714" customWidth="1"/>
    <col min="10" max="10" width="10.7142857142857" customWidth="1"/>
    <col min="11" max="11" width="11.7142857142857" customWidth="1"/>
    <col min="12" max="12" width="13.2857142857143" customWidth="1"/>
  </cols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7" ht="12.75">
      <c r="A2" s="711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1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632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225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</row>
    <row r="8" spans="1:12" ht="18">
      <c r="A8" s="591" t="s">
        <v>155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591"/>
    </row>
    <row r="9" spans="1:12" ht="12.7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2.75">
      <c r="A10" s="2"/>
      <c r="B10" s="726" t="s">
        <v>156</v>
      </c>
      <c r="C10" s="726"/>
      <c r="D10" s="726"/>
      <c r="E10" s="726"/>
      <c r="F10" s="726"/>
      <c r="G10" s="726"/>
      <c r="H10" s="726"/>
      <c r="I10" s="726"/>
      <c r="J10" s="726"/>
      <c r="K10" s="726"/>
      <c r="L10" s="2"/>
    </row>
    <row r="11" spans="1:12" ht="12.7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12.75">
      <c r="A12" s="2"/>
      <c r="B12" s="727" t="s">
        <v>157</v>
      </c>
      <c r="C12" s="725" t="s">
        <v>158</v>
      </c>
      <c r="D12" s="86"/>
      <c r="E12" s="725" t="s">
        <v>159</v>
      </c>
      <c r="F12" s="725" t="s">
        <v>160</v>
      </c>
      <c r="G12" s="728" t="s">
        <v>161</v>
      </c>
      <c r="H12" s="724" t="s">
        <v>162</v>
      </c>
      <c r="I12" s="724"/>
      <c r="J12" s="724"/>
      <c r="K12" s="725" t="s">
        <v>163</v>
      </c>
      <c r="L12" s="4"/>
    </row>
    <row r="13" spans="1:12" ht="12.75">
      <c r="A13" s="2"/>
      <c r="B13" s="727"/>
      <c r="C13" s="725" t="s">
        <v>164</v>
      </c>
      <c r="D13" s="86"/>
      <c r="E13" s="725" t="s">
        <v>165</v>
      </c>
      <c r="F13" s="725"/>
      <c r="G13" s="728"/>
      <c r="H13" s="3" t="s">
        <v>166</v>
      </c>
      <c r="I13" s="3" t="s">
        <v>167</v>
      </c>
      <c r="J13" s="3" t="s">
        <v>168</v>
      </c>
      <c r="K13" s="725"/>
      <c r="L13" s="4"/>
    </row>
    <row r="14" spans="1:12" ht="12.75">
      <c r="A14" s="2"/>
      <c r="B14" s="87" t="s">
        <v>169</v>
      </c>
      <c r="C14" s="88">
        <v>4</v>
      </c>
      <c r="D14" s="88" t="s">
        <v>59</v>
      </c>
      <c r="E14" s="89" t="s">
        <v>170</v>
      </c>
      <c r="F14" s="90">
        <v>0.085999999999999993</v>
      </c>
      <c r="G14" s="5">
        <v>1.6396999999999999</v>
      </c>
      <c r="H14" s="6">
        <v>0.53900000000000003</v>
      </c>
      <c r="I14" s="6">
        <v>0.52039999999999997</v>
      </c>
      <c r="J14" s="6">
        <v>0.4825</v>
      </c>
      <c r="K14" s="90">
        <v>117</v>
      </c>
      <c r="L14" s="4"/>
    </row>
    <row r="15" spans="1:12" ht="12.75">
      <c r="A15" s="2"/>
      <c r="B15" s="87" t="s">
        <v>171</v>
      </c>
      <c r="C15" s="88">
        <v>2</v>
      </c>
      <c r="D15" s="88" t="s">
        <v>70</v>
      </c>
      <c r="E15" s="90" t="s">
        <v>170</v>
      </c>
      <c r="F15" s="90">
        <v>0.13600000000000001</v>
      </c>
      <c r="G15" s="5">
        <v>1.0321</v>
      </c>
      <c r="H15" s="6">
        <v>0.5425</v>
      </c>
      <c r="I15" s="6">
        <v>0.52390000000000003</v>
      </c>
      <c r="J15" s="6">
        <v>0.48599999999999999</v>
      </c>
      <c r="K15" s="90">
        <v>158</v>
      </c>
      <c r="L15" s="4"/>
    </row>
    <row r="16" spans="1:12" ht="12.75">
      <c r="A16" s="2"/>
      <c r="B16" s="87" t="s">
        <v>172</v>
      </c>
      <c r="C16" s="88" t="s">
        <v>73</v>
      </c>
      <c r="D16" s="88" t="s">
        <v>76</v>
      </c>
      <c r="E16" s="90" t="s">
        <v>170</v>
      </c>
      <c r="F16" s="90">
        <v>0.216</v>
      </c>
      <c r="G16" s="5">
        <v>0.65</v>
      </c>
      <c r="H16" s="6">
        <v>0.53790000000000004</v>
      </c>
      <c r="I16" s="6">
        <v>0.51870000000000005</v>
      </c>
      <c r="J16" s="6">
        <v>0.43140000000000001</v>
      </c>
      <c r="K16" s="90">
        <v>212</v>
      </c>
      <c r="L16" s="4"/>
    </row>
    <row r="17" spans="1:12" ht="12.75">
      <c r="A17" s="2"/>
      <c r="B17" s="87" t="s">
        <v>173</v>
      </c>
      <c r="C17" s="88" t="s">
        <v>77</v>
      </c>
      <c r="D17" s="88" t="s">
        <v>74</v>
      </c>
      <c r="E17" s="90" t="s">
        <v>170</v>
      </c>
      <c r="F17" s="90">
        <v>0.433</v>
      </c>
      <c r="G17" s="5">
        <v>0.32579999999999998</v>
      </c>
      <c r="H17" s="6">
        <v>0.49199999999999999</v>
      </c>
      <c r="I17" s="6">
        <v>0.47339999999999999</v>
      </c>
      <c r="J17" s="6">
        <v>0.4355</v>
      </c>
      <c r="K17" s="90">
        <v>331</v>
      </c>
      <c r="L17" s="4"/>
    </row>
    <row r="18" spans="1:12" ht="12.75">
      <c r="A18" s="2"/>
      <c r="B18" s="87" t="s">
        <v>174</v>
      </c>
      <c r="C18" s="88">
        <v>336.40</v>
      </c>
      <c r="D18" s="88" t="s">
        <v>83</v>
      </c>
      <c r="E18" s="90" t="s">
        <v>175</v>
      </c>
      <c r="F18" s="90">
        <v>0.68700000000000006</v>
      </c>
      <c r="G18" s="5">
        <v>0.20349999999999999</v>
      </c>
      <c r="H18" s="6">
        <v>0.4093</v>
      </c>
      <c r="I18" s="6">
        <v>0.3906</v>
      </c>
      <c r="J18" s="6">
        <v>0.3528</v>
      </c>
      <c r="K18" s="90">
        <v>451</v>
      </c>
      <c r="L18" s="4"/>
    </row>
    <row r="19" spans="1:12" ht="12.7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2.7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2.75">
      <c r="A21" s="726" t="s">
        <v>176</v>
      </c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</row>
    <row r="22" spans="1:12" ht="12.7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2.75">
      <c r="A23" s="727" t="s">
        <v>157</v>
      </c>
      <c r="B23" s="725" t="s">
        <v>158</v>
      </c>
      <c r="C23" s="725" t="s">
        <v>159</v>
      </c>
      <c r="D23" s="86"/>
      <c r="E23" s="725" t="s">
        <v>160</v>
      </c>
      <c r="F23" s="728" t="s">
        <v>161</v>
      </c>
      <c r="G23" s="724" t="s">
        <v>162</v>
      </c>
      <c r="H23" s="724"/>
      <c r="I23" s="724"/>
      <c r="J23" s="724"/>
      <c r="K23" s="724"/>
      <c r="L23" s="725" t="s">
        <v>163</v>
      </c>
    </row>
    <row r="24" spans="1:12" ht="12.75">
      <c r="A24" s="727"/>
      <c r="B24" s="725" t="s">
        <v>164</v>
      </c>
      <c r="C24" s="725" t="s">
        <v>165</v>
      </c>
      <c r="D24" s="86"/>
      <c r="E24" s="725"/>
      <c r="F24" s="728"/>
      <c r="G24" s="3" t="s">
        <v>166</v>
      </c>
      <c r="H24" s="3" t="s">
        <v>167</v>
      </c>
      <c r="I24" s="3" t="s">
        <v>168</v>
      </c>
      <c r="J24" s="3" t="s">
        <v>177</v>
      </c>
      <c r="K24" s="3" t="s">
        <v>178</v>
      </c>
      <c r="L24" s="725"/>
    </row>
    <row r="25" spans="1:12" ht="12.75">
      <c r="A25" s="87" t="s">
        <v>179</v>
      </c>
      <c r="B25" s="88">
        <v>4</v>
      </c>
      <c r="C25" s="90">
        <v>7</v>
      </c>
      <c r="D25" s="88" t="s">
        <v>59</v>
      </c>
      <c r="E25" s="90">
        <v>0.058000000000000003</v>
      </c>
      <c r="F25" s="5">
        <v>1.6119000000000001</v>
      </c>
      <c r="G25" s="7">
        <v>0.50349999999999995</v>
      </c>
      <c r="H25" s="7">
        <v>0.4849</v>
      </c>
      <c r="I25" s="7">
        <v>0.44700000000000001</v>
      </c>
      <c r="J25" s="7">
        <v>0.3599</v>
      </c>
      <c r="K25" s="7">
        <v>0.3425</v>
      </c>
      <c r="L25" s="90">
        <v>116</v>
      </c>
    </row>
    <row r="26" spans="1:12" ht="12.75">
      <c r="A26" s="87" t="s">
        <v>180</v>
      </c>
      <c r="B26" s="88">
        <v>2</v>
      </c>
      <c r="C26" s="90">
        <v>7</v>
      </c>
      <c r="D26" s="88" t="s">
        <v>70</v>
      </c>
      <c r="E26" s="90">
        <v>0.091999999999999998</v>
      </c>
      <c r="F26" s="5">
        <v>1.0145</v>
      </c>
      <c r="G26" s="7">
        <v>0.47589999999999999</v>
      </c>
      <c r="H26" s="7">
        <v>0.46729999999999999</v>
      </c>
      <c r="I26" s="7">
        <v>0.4294</v>
      </c>
      <c r="J26" s="7">
        <v>0.34229999999999999</v>
      </c>
      <c r="K26" s="7">
        <v>0.32490000000000002</v>
      </c>
      <c r="L26" s="90">
        <v>155</v>
      </c>
    </row>
    <row r="27" spans="1:12" ht="12.75">
      <c r="A27" s="87" t="s">
        <v>181</v>
      </c>
      <c r="B27" s="88" t="s">
        <v>73</v>
      </c>
      <c r="C27" s="90">
        <v>7</v>
      </c>
      <c r="D27" s="88" t="s">
        <v>76</v>
      </c>
      <c r="E27" s="90">
        <v>0.14499999999999999</v>
      </c>
      <c r="F27" s="5">
        <v>0.63749999999999996</v>
      </c>
      <c r="G27" s="7">
        <v>0.46850000000000003</v>
      </c>
      <c r="H27" s="7">
        <v>0.44979999999999998</v>
      </c>
      <c r="I27" s="7">
        <v>0.41189999999999999</v>
      </c>
      <c r="J27" s="7">
        <v>0.32490000000000002</v>
      </c>
      <c r="K27" s="7">
        <v>0.30740000000000001</v>
      </c>
      <c r="L27" s="90">
        <v>210</v>
      </c>
    </row>
    <row r="28" spans="1:12" ht="12.75">
      <c r="A28" s="87" t="s">
        <v>182</v>
      </c>
      <c r="B28" s="88" t="s">
        <v>77</v>
      </c>
      <c r="C28" s="90">
        <v>7</v>
      </c>
      <c r="D28" s="88" t="s">
        <v>74</v>
      </c>
      <c r="E28" s="90">
        <v>0.29299999999999998</v>
      </c>
      <c r="F28" s="5">
        <v>0.3165</v>
      </c>
      <c r="G28" s="7">
        <v>0.44209999999999999</v>
      </c>
      <c r="H28" s="7">
        <v>0.4234</v>
      </c>
      <c r="I28" s="7">
        <v>0.3856</v>
      </c>
      <c r="J28" s="7">
        <v>0.29849999999999999</v>
      </c>
      <c r="K28" s="7">
        <v>0.28100000000000003</v>
      </c>
      <c r="L28" s="90">
        <v>328</v>
      </c>
    </row>
    <row r="29" spans="1:12" ht="12.75">
      <c r="A29" s="87" t="s">
        <v>183</v>
      </c>
      <c r="B29" s="88">
        <v>336.40</v>
      </c>
      <c r="C29" s="90">
        <v>19</v>
      </c>
      <c r="D29" s="88" t="s">
        <v>83</v>
      </c>
      <c r="E29" s="90">
        <v>0.46700000000000003</v>
      </c>
      <c r="F29" s="5">
        <v>0.20050000000000001</v>
      </c>
      <c r="G29" s="7">
        <v>0.42049999999999998</v>
      </c>
      <c r="H29" s="7">
        <v>0.40189999999999998</v>
      </c>
      <c r="I29" s="7">
        <v>0.36399999999999999</v>
      </c>
      <c r="J29" s="7">
        <v>0.27689999999999998</v>
      </c>
      <c r="K29" s="7">
        <v>0.25950000000000001</v>
      </c>
      <c r="L29" s="90">
        <v>444</v>
      </c>
    </row>
    <row r="30" spans="1:12" ht="13.5" thickBo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</sheetData>
  <sheetProtection sheet="1" objects="1" scenarios="1"/>
  <customSheetViews>
    <customSheetView guid="{adcfddaa-af71-42ce-8fd7-7abb67cb940b}" hiddenColumns="1" printArea="1" scale="60" showGridLines="0" showPageBreaks="1" topLeftCell="A1" view="pageBreakPreview">
      <selection pane="topLeft" activeCell="C14" sqref="C14"/>
      <pageMargins left="0" right="0" top="0" bottom="0" header="0" footer="0"/>
      <printOptions horizontalCentered="1" verticalCentered="1"/>
      <pageSetup horizontalDpi="300" verticalDpi="300" orientation="landscape" paperSize="1" r:id="rId3"/>
      <headerFooter alignWithMargins="0"/>
    </customSheetView>
  </customSheetViews>
  <mergeCells count="19">
    <mergeCell ref="A2:L2"/>
    <mergeCell ref="A3:L3"/>
    <mergeCell ref="A21:L21"/>
    <mergeCell ref="H12:J12"/>
    <mergeCell ref="K12:K13"/>
    <mergeCell ref="G23:K23"/>
    <mergeCell ref="L23:L24"/>
    <mergeCell ref="A8:L8"/>
    <mergeCell ref="B10:K10"/>
    <mergeCell ref="B12:B13"/>
    <mergeCell ref="C12:C13"/>
    <mergeCell ref="E12:E13"/>
    <mergeCell ref="F12:F13"/>
    <mergeCell ref="G12:G13"/>
    <mergeCell ref="A23:A24"/>
    <mergeCell ref="B23:B24"/>
    <mergeCell ref="C23:C24"/>
    <mergeCell ref="E23:E24"/>
    <mergeCell ref="F23:F24"/>
  </mergeCells>
  <printOptions horizontalCentered="1" verticalCentered="1"/>
  <pageMargins left="0.78740157480315" right="0.78740157480315" top="0.984251968503937" bottom="0.984251968503937" header="0.511811023622047" footer="0.511811023622047"/>
  <pageSetup horizontalDpi="300" verticalDpi="300" orientation="landscape" paperSize="9" r:id="rId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4"/>
  <dimension ref="A1:AB47"/>
  <sheetViews>
    <sheetView showGridLines="0" view="pageBreakPreview" zoomScale="73" zoomScaleNormal="75" zoomScaleSheetLayoutView="73" workbookViewId="0" topLeftCell="A1">
      <selection pane="topLeft" activeCell="M9" sqref="M9"/>
    </sheetView>
  </sheetViews>
  <sheetFormatPr defaultRowHeight="12.75"/>
  <cols>
    <col min="1" max="1" width="10.2857142857143" customWidth="1"/>
    <col min="2" max="2" width="10.2857142857143" hidden="1" customWidth="1"/>
    <col min="3" max="3" width="10.5714285714286" customWidth="1"/>
    <col min="4" max="5" width="10.2857142857143" customWidth="1"/>
    <col min="6" max="6" width="10.7142857142857" customWidth="1"/>
    <col min="7" max="7" width="10.2857142857143" customWidth="1"/>
    <col min="8" max="8" width="10.4285714285714" customWidth="1"/>
    <col min="9" max="9" width="10.5714285714286" customWidth="1"/>
    <col min="10" max="11" width="10.7142857142857" customWidth="1"/>
    <col min="12" max="12" width="11.2857142857143" customWidth="1"/>
    <col min="13" max="13" width="10.5714285714286" customWidth="1"/>
    <col min="14" max="15" width="8.71428571428571" customWidth="1"/>
    <col min="16" max="16" width="9" customWidth="1"/>
    <col min="17" max="17" width="5.57142857142857" customWidth="1"/>
    <col min="19" max="19" width="5" customWidth="1"/>
    <col min="20" max="20" width="5.42857142857143" customWidth="1"/>
    <col min="22" max="22" width="4.71428571428571" customWidth="1"/>
    <col min="23" max="23" width="6.28571428571429" customWidth="1"/>
    <col min="25" max="25" width="4.71428571428571" customWidth="1"/>
  </cols>
  <sheetData>
    <row r="1" spans="1:18" ht="11.2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7" ht="12.75">
      <c r="A2" s="711"/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1"/>
      <c r="M2" s="711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</row>
    <row r="3" spans="1:27" ht="20.25">
      <c r="A3" s="632" t="s">
        <v>4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5" spans="1:13" ht="20.25">
      <c r="A5" s="632" t="s">
        <v>184</v>
      </c>
      <c r="B5" s="632"/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</row>
    <row r="6" spans="1:13" ht="12" customHeight="1" thickBot="1">
      <c r="A6" s="2"/>
      <c r="B6" s="2"/>
      <c r="C6" s="15"/>
      <c r="D6" s="15"/>
      <c r="E6" s="15"/>
      <c r="F6" s="15"/>
      <c r="G6" s="15"/>
      <c r="H6" s="15"/>
      <c r="I6" s="2"/>
      <c r="J6" s="2"/>
      <c r="K6" s="2"/>
      <c r="L6" s="2"/>
      <c r="M6" s="2"/>
    </row>
    <row r="7" spans="1:13" ht="13.5" customHeight="1">
      <c r="A7" s="2"/>
      <c r="B7" s="2"/>
      <c r="C7" s="742" t="s">
        <v>185</v>
      </c>
      <c r="D7" s="743"/>
      <c r="E7" s="743"/>
      <c r="F7" s="743"/>
      <c r="G7" s="743"/>
      <c r="H7" s="743"/>
      <c r="I7" s="744" t="s">
        <v>186</v>
      </c>
      <c r="J7" s="745"/>
      <c r="K7" s="745"/>
      <c r="L7" s="745"/>
      <c r="M7" s="746"/>
    </row>
    <row r="8" spans="1:13" ht="12.75" customHeight="1" thickBot="1">
      <c r="A8" s="2"/>
      <c r="B8" s="2"/>
      <c r="C8" s="95"/>
      <c r="D8" s="2"/>
      <c r="E8" s="2"/>
      <c r="F8" s="2"/>
      <c r="G8" s="2"/>
      <c r="H8" s="2"/>
      <c r="I8" s="732" t="s">
        <v>20</v>
      </c>
      <c r="J8" s="733"/>
      <c r="K8" s="2"/>
      <c r="L8" s="733" t="s">
        <v>30</v>
      </c>
      <c r="M8" s="741"/>
    </row>
    <row r="9" spans="1:13" ht="12.75">
      <c r="A9" s="2"/>
      <c r="B9" s="2"/>
      <c r="C9" s="96" t="s">
        <v>187</v>
      </c>
      <c r="D9" s="97">
        <f>13.8</f>
        <v>13.800000000000001</v>
      </c>
      <c r="E9" s="2"/>
      <c r="F9" s="2"/>
      <c r="G9" s="2"/>
      <c r="H9" s="2"/>
      <c r="I9" s="96" t="s">
        <v>188</v>
      </c>
      <c r="J9" s="98">
        <f>'BT-MX (LOTEAMENTO)'!D13</f>
        <v>0</v>
      </c>
      <c r="K9" s="2"/>
      <c r="L9" s="96" t="s">
        <v>188</v>
      </c>
      <c r="M9" s="99">
        <f>'BT-MX (LOTEAMENTO)'!D15</f>
        <v>0</v>
      </c>
    </row>
    <row r="10" spans="1:13" ht="12.75">
      <c r="A10" s="2"/>
      <c r="B10" s="2"/>
      <c r="C10" s="100"/>
      <c r="D10" s="101"/>
      <c r="E10" s="2"/>
      <c r="F10" s="2"/>
      <c r="G10" s="2"/>
      <c r="H10" s="2"/>
      <c r="I10" s="100"/>
      <c r="J10" s="101"/>
      <c r="K10" s="2"/>
      <c r="L10" s="100"/>
      <c r="M10" s="101"/>
    </row>
    <row r="11" spans="1:13" ht="12.75">
      <c r="A11" s="2"/>
      <c r="B11" s="2"/>
      <c r="C11" s="95"/>
      <c r="D11" s="102"/>
      <c r="E11" s="2"/>
      <c r="F11" s="2"/>
      <c r="G11" s="2"/>
      <c r="H11" s="2"/>
      <c r="I11" s="95"/>
      <c r="J11" s="102"/>
      <c r="K11" s="2"/>
      <c r="L11" s="95"/>
      <c r="M11" s="102"/>
    </row>
    <row r="12" spans="1:13" ht="12.75">
      <c r="A12" s="2"/>
      <c r="B12" s="2"/>
      <c r="C12" s="100" t="s">
        <v>189</v>
      </c>
      <c r="D12" s="103">
        <v>0.92</v>
      </c>
      <c r="E12" s="2"/>
      <c r="F12" s="2"/>
      <c r="G12" s="2"/>
      <c r="H12" s="2"/>
      <c r="I12" s="100" t="s">
        <v>189</v>
      </c>
      <c r="J12" s="104">
        <f>'BT-MX (LOTEAMENTO)'!G13</f>
        <v>0</v>
      </c>
      <c r="K12" s="2"/>
      <c r="L12" s="100" t="s">
        <v>189</v>
      </c>
      <c r="M12" s="105">
        <f>'BT-MX (LOTEAMENTO)'!G13</f>
        <v>0</v>
      </c>
    </row>
    <row r="13" spans="1:13" ht="13.5" thickBot="1">
      <c r="A13" s="2"/>
      <c r="B13" s="2"/>
      <c r="C13" s="106" t="s">
        <v>190</v>
      </c>
      <c r="D13" s="107">
        <f>(ACOS(D12)/3.1416)*180</f>
        <v>23.073864108899627</v>
      </c>
      <c r="E13" s="2"/>
      <c r="F13" s="2"/>
      <c r="G13" s="2"/>
      <c r="H13" s="2"/>
      <c r="I13" s="106" t="s">
        <v>190</v>
      </c>
      <c r="J13" s="107">
        <f>(ACOS(J12)/3.1416)*180</f>
        <v>89.999789541342423</v>
      </c>
      <c r="K13" s="2"/>
      <c r="L13" s="106" t="s">
        <v>190</v>
      </c>
      <c r="M13" s="107">
        <f>(ACOS(M12)/3.1416)*180</f>
        <v>89.999789541342423</v>
      </c>
    </row>
    <row r="14" spans="1:13" ht="12.75" customHeight="1" thickBot="1">
      <c r="A14" s="2"/>
      <c r="B14" s="2"/>
      <c r="C14" s="739" t="s">
        <v>191</v>
      </c>
      <c r="D14" s="740"/>
      <c r="E14" s="2"/>
      <c r="F14" s="2"/>
      <c r="G14" s="2"/>
      <c r="H14" s="2"/>
      <c r="I14" s="739" t="s">
        <v>191</v>
      </c>
      <c r="J14" s="740"/>
      <c r="K14" s="2"/>
      <c r="L14" s="739" t="s">
        <v>191</v>
      </c>
      <c r="M14" s="740"/>
    </row>
    <row r="15" spans="1:14" ht="14.25" customHeight="1" thickBot="1">
      <c r="A15" s="2"/>
      <c r="C15" s="736" t="s">
        <v>192</v>
      </c>
      <c r="D15" s="737"/>
      <c r="E15" s="737"/>
      <c r="F15" s="736" t="s">
        <v>193</v>
      </c>
      <c r="G15" s="737"/>
      <c r="H15" s="737"/>
      <c r="I15" s="737"/>
      <c r="J15" s="737"/>
      <c r="K15" s="737"/>
      <c r="L15" s="737"/>
      <c r="M15" s="738"/>
      <c r="N15" s="10"/>
    </row>
    <row r="16" spans="1:28" ht="15.75" customHeight="1">
      <c r="A16" s="730" t="s">
        <v>194</v>
      </c>
      <c r="B16" s="108"/>
      <c r="C16" s="109" t="s">
        <v>195</v>
      </c>
      <c r="D16" s="110" t="s">
        <v>196</v>
      </c>
      <c r="E16" s="111" t="s">
        <v>197</v>
      </c>
      <c r="F16" s="109" t="s">
        <v>195</v>
      </c>
      <c r="G16" s="110" t="s">
        <v>196</v>
      </c>
      <c r="H16" s="111" t="s">
        <v>197</v>
      </c>
      <c r="I16" s="734" t="s">
        <v>198</v>
      </c>
      <c r="J16" s="735"/>
      <c r="K16" s="451" t="s">
        <v>199</v>
      </c>
      <c r="L16" s="452" t="s">
        <v>198</v>
      </c>
      <c r="M16" s="452" t="s">
        <v>199</v>
      </c>
      <c r="AA16" s="2"/>
      <c r="AB16" s="2"/>
    </row>
    <row r="17" spans="1:28" ht="28.5" customHeight="1" thickBot="1">
      <c r="A17" s="731"/>
      <c r="B17" s="112"/>
      <c r="C17" s="113" t="s">
        <v>200</v>
      </c>
      <c r="D17" s="114" t="s">
        <v>201</v>
      </c>
      <c r="E17" s="115" t="s">
        <v>202</v>
      </c>
      <c r="F17" s="113" t="s">
        <v>200</v>
      </c>
      <c r="G17" s="113" t="s">
        <v>201</v>
      </c>
      <c r="H17" s="115" t="s">
        <v>202</v>
      </c>
      <c r="I17" s="116" t="s">
        <v>200</v>
      </c>
      <c r="J17" s="116" t="s">
        <v>201</v>
      </c>
      <c r="K17" s="116" t="s">
        <v>202</v>
      </c>
      <c r="L17" s="117" t="s">
        <v>203</v>
      </c>
      <c r="M17" s="117" t="s">
        <v>204</v>
      </c>
      <c r="AA17" s="2"/>
      <c r="AB17" s="2"/>
    </row>
    <row r="18" spans="1:28" ht="12.75">
      <c r="A18" s="118" t="s">
        <v>205</v>
      </c>
      <c r="B18" s="119" t="s">
        <v>59</v>
      </c>
      <c r="C18" s="120">
        <f>(('Características dos Cabos'!$G$14*COS((D13/180)*3.1416)+'Características dos Cabos'!$I$14*SIN((D13/180)*3.1416))/$D$9^2)*100</f>
        <v>0.89922196699385548</v>
      </c>
      <c r="D18" s="121">
        <f>((('Características dos Cabos'!$G$14+0.5*'Características dos Cabos'!$G$14)*COS((D13/180)*3.1416)+('Características dos Cabos'!$H$14+0.5*'Características dos Cabos'!$H$14)*SIN((D13/180)*3.1416))/$D$9^2)*150</f>
        <v>2.0318619983667543</v>
      </c>
      <c r="E18" s="120">
        <f>((('Características dos Cabos'!$G$14+'Características dos Cabos'!$G$14)*COS((D13/180)*3.1416)+('Características dos Cabos'!$J$14+'Características dos Cabos'!$J$14)*SIN((D13/180)*3.1416))/$D$9^2)*300</f>
        <v>5.3485337370600536</v>
      </c>
      <c r="F18" s="120">
        <f>(('Características dos Cabos'!$F$25*COS((D13/180)*3.1416)+'Características dos Cabos'!$H$25*SIN((D13/180)*3.1416))/$D$9^2)*100</f>
        <v>0.87848624879441806</v>
      </c>
      <c r="G18" s="120">
        <f>((('Características dos Cabos'!$F$25+0.5*'Características dos Cabos'!$F$25)*COS((D13/180)*3.1416)+('Características dos Cabos'!$G$25+0.5*'Características dos Cabos'!$G$25)*SIN((D13/180)*3.1416))/$D$9^2)*150</f>
        <v>1.9852066324180209</v>
      </c>
      <c r="H18" s="120">
        <f>((('Características dos Cabos'!$F$25+'Características dos Cabos'!$F$25)*COS((D13/180)*3.1416)+('Características dos Cabos'!$I$25+'Características dos Cabos'!$I$25)*SIN((D13/180)*3.1416))/$D$9^2)*300</f>
        <v>5.22411942786343</v>
      </c>
      <c r="I18" s="122" t="e">
        <f>(('Características dos Cabos'!$F$25*COS((J13/180)*PI())+'Características dos Cabos'!$J$25*SIN((J13/180)*PI()))/$J$9^2)*100</f>
        <v>#DIV/0!</v>
      </c>
      <c r="J18" s="122" t="e">
        <f>((('Características dos Cabos'!$F$25+0.5*'Características dos Cabos'!$F$25)*COS((J13/180)*3.1416)+('Características dos Cabos'!$J$25+0.5*'Características dos Cabos'!$J$25)*SIN((J13/180)*3.1416))/$J$9^2)*150</f>
        <v>#DIV/0!</v>
      </c>
      <c r="K18" s="122" t="e">
        <f>((('Características dos Cabos'!$F$25+'Características dos Cabos'!$F$25)*COS((J13/180)*3.1416)+('Características dos Cabos'!$K$25+'Características dos Cabos'!$K$25)*SIN((J13/180)*3.1416))/$J$9^2)*300</f>
        <v>#DIV/0!</v>
      </c>
      <c r="L18" s="123" t="e">
        <f>((((('Características dos Cabos'!$F$25)/2+'Características dos Cabos'!$F$25)*COS(($M$13/180)*3.1416))+((('Características dos Cabos'!$J$25)/2+'Características dos Cabos'!$J$25)*SIN(($M$13/180)*3.1416)))/(($M$9/2)^2))*100</f>
        <v>#DIV/0!</v>
      </c>
      <c r="M18" s="123" t="e">
        <f>((((('Características dos Cabos'!$F$25)+'Características dos Cabos'!$F$25)*COS(($M$13/180)*3.1416))+((('Características dos Cabos'!$K$25)+'Características dos Cabos'!$K$25)*SIN(($M$13/180)*3.1416)))/(($M$9/2)^2))*100</f>
        <v>#DIV/0!</v>
      </c>
      <c r="AA18" s="2"/>
      <c r="AB18" s="2"/>
    </row>
    <row r="19" spans="1:28" ht="12.75">
      <c r="A19" s="124" t="s">
        <v>72</v>
      </c>
      <c r="B19" s="125" t="s">
        <v>70</v>
      </c>
      <c r="C19" s="126">
        <f>(('Características dos Cabos'!$G$15*COS((D13/180)*3.1416)+'Características dos Cabos'!$I$15*SIN((D13/180)*3.1416))/$D$9^2)*100</f>
        <v>0.6064156837844239</v>
      </c>
      <c r="D19" s="127">
        <f>((('Características dos Cabos'!$G$15+0.5*'Características dos Cabos'!$G$14)*COS((D13/180)*3.1416)+('Características dos Cabos'!$H$15+0.5*'Características dos Cabos'!$H$14)*SIN((D13/180)*3.1416))/$D$9^2)*150</f>
        <v>1.5926525735526074</v>
      </c>
      <c r="E19" s="126">
        <f>((('Características dos Cabos'!$G$15+'Características dos Cabos'!$G$14)*COS((D13/180)*3.1416)+('Características dos Cabos'!$J$15+'Características dos Cabos'!$J$14)*SIN((D13/180)*3.1416))/$D$9^2)*300</f>
        <v>4.4701148874317598</v>
      </c>
      <c r="F19" s="126">
        <f>(('Características dos Cabos'!$F$26*COS((D13/180)*3.1416)+'Características dos Cabos'!$H$26*SIN((D13/180)*3.1416))/$D$9^2)*100</f>
        <v>0.58626520115963687</v>
      </c>
      <c r="G19" s="126">
        <f>((('Características dos Cabos'!$F$26+0.5*'Características dos Cabos'!$F$25)*COS((D13/180)*3.1416)+('Características dos Cabos'!$G$26+0.5*'Características dos Cabos'!$G$25)*SIN((D13/180)*3.1416))/$D$9^2)*150</f>
        <v>1.5437881173706589</v>
      </c>
      <c r="H19" s="126">
        <f>((('Características dos Cabos'!$F$26+'Características dos Cabos'!$F$25)*COS((D13/180)*3.1416)+('Características dos Cabos'!$I$26+'Características dos Cabos'!$I$25)*SIN((D13/180)*3.1416))/$D$9^2)*300</f>
        <v>4.3474562849590868</v>
      </c>
      <c r="I19" s="128" t="e">
        <f>(('Características dos Cabos'!$F$26*COS((J13/180)*3.1416)+'Características dos Cabos'!$J$26*SIN((J13/180)*3.1416))/$J$9^2)*100</f>
        <v>#DIV/0!</v>
      </c>
      <c r="J19" s="128" t="e">
        <f>((('Características dos Cabos'!$F$26+0.5*'Características dos Cabos'!$F$25)*COS((J13/180)*3.1416)+('Características dos Cabos'!$J$26+0.5*'Características dos Cabos'!$J$25)*SIN((J13/180)*3.1416))/$J$9^2)*150</f>
        <v>#DIV/0!</v>
      </c>
      <c r="K19" s="128" t="e">
        <f>((('Características dos Cabos'!$F$26+'Características dos Cabos'!$F$25)*COS((J13/180)*3.1416)+('Características dos Cabos'!$K$26+'Características dos Cabos'!$K$25)*SIN((J13/180)*3.1416))/$J$9^2)*300</f>
        <v>#DIV/0!</v>
      </c>
      <c r="L19" s="123" t="e">
        <f>((((('Características dos Cabos'!$F$26)/2+'Características dos Cabos'!$F$25)*COS(($M$13/180)*3.1416))+((('Características dos Cabos'!$J$26)/2+'Características dos Cabos'!$J$25)*SIN(($M$13/180)*3.1416)))/(($M$9/2)^2))*100</f>
        <v>#DIV/0!</v>
      </c>
      <c r="M19" s="123" t="e">
        <f>((((('Características dos Cabos'!$F$26)+'Características dos Cabos'!$F$25)*COS(($M$13/180)*3.1416))+((('Características dos Cabos'!$K$26)+'Características dos Cabos'!$K$25)*SIN(($M$13/180)*3.1416)))/(($M$9/2)^2))*100</f>
        <v>#DIV/0!</v>
      </c>
      <c r="AA19" s="2"/>
      <c r="AB19" s="2"/>
    </row>
    <row r="20" spans="1:28" ht="12.75">
      <c r="A20" s="124" t="s">
        <v>75</v>
      </c>
      <c r="B20" s="125" t="s">
        <v>76</v>
      </c>
      <c r="C20" s="126">
        <f>(('Características dos Cabos'!$G$15*COS((D13/180)*3.1416)+'Características dos Cabos'!$I$15*SIN((D13/180)*3.1416))/$D$9^2)*100</f>
        <v>0.6064156837844239</v>
      </c>
      <c r="D20" s="127">
        <f>((('Características dos Cabos'!$G$15+0.5*'Características dos Cabos'!$G$15)*COS((D13/180)*3.1416)+('Características dos Cabos'!$H$15+0.5*'Características dos Cabos'!$H$15)*SIN((D13/180)*3.1416))/$D$9^2)*150</f>
        <v>1.3730478611455337</v>
      </c>
      <c r="E20" s="126">
        <f>((('Características dos Cabos'!$G$15+'Características dos Cabos'!$G$15)*COS((D13/180)*3.1416)+('Características dos Cabos'!$J$15+'Características dos Cabos'!$J$15)*SIN((D13/180)*3.1416))/$D$9^2)*300</f>
        <v>3.591696037803465</v>
      </c>
      <c r="F20" s="126">
        <f>(('Características dos Cabos'!$F$26*COS((D13/180)*3.1416)+'Características dos Cabos'!$H$26*SIN((D13/180)*3.1416))/$D$9^2)*100</f>
        <v>0.58626520115963687</v>
      </c>
      <c r="G20" s="126">
        <f>((('Características dos Cabos'!$F$26+0.5*'Características dos Cabos'!$F$26)*COS((D13/180)*3.1416)+('Características dos Cabos'!$G$26+0.5*'Características dos Cabos'!$G$26)*SIN((D13/180)*3.1416))/$D$9^2)*150</f>
        <v>1.3230788598469778</v>
      </c>
      <c r="H20" s="126">
        <f>((('Características dos Cabos'!$F$26+'Características dos Cabos'!$F$26)*COS((D13/180)*3.1416)+('Características dos Cabos'!$I$26+'Características dos Cabos'!$I$26)*SIN((D13/180)*3.1416))/$D$9^2)*300</f>
        <v>3.4707931420547427</v>
      </c>
      <c r="I20" s="128" t="e">
        <f>(('Características dos Cabos'!$F$26*COS((J13/180)*3.1416)+'Características dos Cabos'!$J$26*SIN((J13/180)*3.1416))/$J$9^2)*100</f>
        <v>#DIV/0!</v>
      </c>
      <c r="J20" s="128" t="e">
        <f>((('Características dos Cabos'!$F$26+0.5*'Características dos Cabos'!$F$26)*COS((J13/180)*3.1416)+('Características dos Cabos'!$J$26+0.5*'Características dos Cabos'!$J$26)*SIN((J13/180)*3.1416))/$J$9^2)*150</f>
        <v>#DIV/0!</v>
      </c>
      <c r="K20" s="128" t="e">
        <f>((('Características dos Cabos'!$F$26+'Características dos Cabos'!$F$26)*COS((J13/180)*3.1416)+('Características dos Cabos'!$K$26+'Características dos Cabos'!$K$26)*SIN((J13/180)*3.1416))/$J$9^2)*300</f>
        <v>#DIV/0!</v>
      </c>
      <c r="L20" s="123" t="e">
        <f>((((('Características dos Cabos'!$F$26)/2+'Características dos Cabos'!$F$26)*COS(($M$13/180)*3.1416))+((('Características dos Cabos'!$J$26)/2+'Características dos Cabos'!$J$26)*SIN(($M$13/180)*3.1416)))/(($M$9/2)^2))*100</f>
        <v>#DIV/0!</v>
      </c>
      <c r="M20" s="123" t="e">
        <f>((((('Características dos Cabos'!$F$26)+'Características dos Cabos'!$F$26)*COS(($M$13/180)*3.1416))+((('Características dos Cabos'!$K$26)+'Características dos Cabos'!$K$26)*SIN(($M$13/180)*3.1416)))/(($M$9/2)^2))*100</f>
        <v>#DIV/0!</v>
      </c>
      <c r="AA20" s="2"/>
      <c r="AB20" s="2"/>
    </row>
    <row r="21" spans="1:28" ht="12.75">
      <c r="A21" s="124" t="s">
        <v>81</v>
      </c>
      <c r="B21" s="125" t="s">
        <v>74</v>
      </c>
      <c r="C21" s="126">
        <f>(('Características dos Cabos'!$G$16*COS((D13/180)*3.1416)+'Características dos Cabos'!$I$16*SIN((D13/180)*3.1416))/$D$9^2)*100</f>
        <v>0.42075617135741517</v>
      </c>
      <c r="D21" s="127">
        <f>((('Características dos Cabos'!$G$16+0.5*'Características dos Cabos'!$G$14)*COS((D13/180)*3.1416)+('Características dos Cabos'!$H$16+0.5*'Características dos Cabos'!$H$14)*SIN((D13/180)*3.1416))/$D$9^2)*150</f>
        <v>1.3143485215278057</v>
      </c>
      <c r="E21" s="126">
        <f>((('Características dos Cabos'!$G$16+'Características dos Cabos'!$G$14)*COS((D13/180)*3.1416)+('Características dos Cabos'!$J$16+'Características dos Cabos'!$J$14)*SIN((D13/180)*3.1416))/$D$9^2)*300</f>
        <v>3.8826373474302565</v>
      </c>
      <c r="F21" s="126">
        <f>(('Características dos Cabos'!$F$27*COS((D13/180)*3.1416)+'Características dos Cabos'!$H$27*SIN((D13/180)*3.1416))/$D$9^2)*100</f>
        <v>0.40053816310051438</v>
      </c>
      <c r="G21" s="126">
        <f>((('Características dos Cabos'!$F$27+0.5*'Características dos Cabos'!$F$25)*COS((D13/180)*3.1416)+('Características dos Cabos'!$G$27+0.5*'Características dos Cabos'!$G$25)*SIN((D13/180)*3.1416))/$D$9^2)*150</f>
        <v>1.2683153733131169</v>
      </c>
      <c r="H21" s="126">
        <f>((('Características dos Cabos'!$F$27+'Características dos Cabos'!$F$25)*COS((D13/180)*3.1416)+('Características dos Cabos'!$I$27+'Características dos Cabos'!$I$25)*SIN((D13/180)*3.1416))/$D$9^2)*300</f>
        <v>3.7902751707817188</v>
      </c>
      <c r="I21" s="128" t="e">
        <f>(('Características dos Cabos'!$F$27*COS((J13/180)*3.1416)+'Características dos Cabos'!$J$27*SIN((J13/180)*3.1416))/$J$9^2)*100</f>
        <v>#DIV/0!</v>
      </c>
      <c r="J21" s="128" t="e">
        <f>((('Características dos Cabos'!$F$27+0.5*'Características dos Cabos'!$F$25)*COS((J13/180)*3.1416)+('Características dos Cabos'!$J$27+0.5*'Características dos Cabos'!$J$25)*SIN((J13/180)*3.1416))/$J$9^2)*150</f>
        <v>#DIV/0!</v>
      </c>
      <c r="K21" s="128" t="e">
        <f>((('Características dos Cabos'!$F$27+'Características dos Cabos'!$F$25)*COS((J13/180)*3.1416)+('Características dos Cabos'!$K$27+'Características dos Cabos'!$K$25)*SIN((J13/180)*3.1416))/$J$9^2)*300</f>
        <v>#DIV/0!</v>
      </c>
      <c r="L21" s="123" t="e">
        <f>((((('Características dos Cabos'!$F$27)/2+'Características dos Cabos'!$F$25)*COS(($M$13/180)*3.1416))+((('Características dos Cabos'!$J$27)/2+'Características dos Cabos'!$J$25)*SIN(($M$13/180)*3.1416)))/(($M$9/2)^2))*100</f>
        <v>#DIV/0!</v>
      </c>
      <c r="M21" s="123" t="e">
        <f>((((('Características dos Cabos'!$F$27)+'Características dos Cabos'!$F$25)*COS(($M$13/180)*3.1416))+((('Características dos Cabos'!$K$27)+'Características dos Cabos'!$K$25)*SIN(($M$13/180)*3.1416)))/(($M$9/2)^2))*100</f>
        <v>#DIV/0!</v>
      </c>
      <c r="AA21" s="2"/>
      <c r="AB21" s="2"/>
    </row>
    <row r="22" spans="1:28" ht="12.75">
      <c r="A22" s="124" t="s">
        <v>82</v>
      </c>
      <c r="B22" s="125" t="s">
        <v>83</v>
      </c>
      <c r="C22" s="126">
        <f>(('Características dos Cabos'!$G$16*COS((D13/180)*3.1416)+'Características dos Cabos'!$I$16*SIN((D13/180)*3.1416))/$D$9^2)*100</f>
        <v>0.42075617135741517</v>
      </c>
      <c r="D22" s="127">
        <f>((('Características dos Cabos'!$G$16+0.5*'Características dos Cabos'!$G$15)*COS((D13/180)*3.1416)+('Características dos Cabos'!$H$16+0.5*'Características dos Cabos'!$H$15)*SIN((D13/180)*3.1416))/$D$9^2)*150</f>
        <v>1.094743809120732</v>
      </c>
      <c r="E22" s="126">
        <f>((('Características dos Cabos'!$G$16+'Características dos Cabos'!$G$15)*COS((D13/180)*3.1416)+('Características dos Cabos'!$J$16+'Características dos Cabos'!$J$15)*SIN((D13/180)*3.1416))/$D$9^2)*300</f>
        <v>3.0042184978019626</v>
      </c>
      <c r="F22" s="126">
        <f>(('Características dos Cabos'!$F$27*COS((D13/180)*3.1416)+'Características dos Cabos'!$H$27*SIN((D13/180)*3.1416))/$D$9^2)*100</f>
        <v>0.40053816310051438</v>
      </c>
      <c r="G22" s="126">
        <f>((('Características dos Cabos'!$F$27+0.5*'Características dos Cabos'!$F$26)*COS((D13/180)*3.1416)+('Características dos Cabos'!$G$27+0.5*'Características dos Cabos'!$G$26)*SIN((D13/180)*3.1416))/$D$9^2)*150</f>
        <v>1.0476061157894359</v>
      </c>
      <c r="H22" s="126">
        <f>((('Características dos Cabos'!$F$27+'Características dos Cabos'!$F$26)*COS((D13/180)*3.1416)+('Características dos Cabos'!$I$27+'Características dos Cabos'!$I$26)*SIN((D13/180)*3.1416))/$D$9^2)*300</f>
        <v>2.9136120278773747</v>
      </c>
      <c r="I22" s="128" t="e">
        <f>(('Características dos Cabos'!$F$27*COS((J13/180)*3.1416)+'Características dos Cabos'!$J$27*SIN((J13/180)*3.1416))/$J$9^2)*100</f>
        <v>#DIV/0!</v>
      </c>
      <c r="J22" s="128" t="e">
        <f>((('Características dos Cabos'!$F$27+0.5*'Características dos Cabos'!$F$26)*COS((J13/180)*3.1416)+('Características dos Cabos'!$J$27+0.5*'Características dos Cabos'!$J$26)*SIN((J13/180)*3.1416))/$J$9^2)*150</f>
        <v>#DIV/0!</v>
      </c>
      <c r="K22" s="128" t="e">
        <f>((('Características dos Cabos'!$F$27+'Características dos Cabos'!$F$26)*COS((J13/180)*3.1416)+('Características dos Cabos'!$K$27+'Características dos Cabos'!$K$26)*SIN((J13/180)*3.1416))/$J$9^2)*300</f>
        <v>#DIV/0!</v>
      </c>
      <c r="L22" s="123" t="e">
        <f>((((('Características dos Cabos'!$F$27)/2+'Características dos Cabos'!$F$26)*COS(($M$13/180)*3.1416))+((('Características dos Cabos'!$J$27)/2+'Características dos Cabos'!$J$26)*SIN(($M$13/180)*3.1416)))/(($M$9/2)^2))*100</f>
        <v>#DIV/0!</v>
      </c>
      <c r="M22" s="123" t="e">
        <f>((((('Características dos Cabos'!$F$27)+'Características dos Cabos'!$F$26)*COS(($M$13/180)*3.1416))+((('Características dos Cabos'!$K$27)+'Características dos Cabos'!$K$26)*SIN(($M$13/180)*3.1416)))/(($M$9/2)^2))*100</f>
        <v>#DIV/0!</v>
      </c>
      <c r="AA22" s="2"/>
      <c r="AB22" s="2"/>
    </row>
    <row r="23" spans="1:28" ht="12.75" customHeight="1">
      <c r="A23" s="124" t="s">
        <v>84</v>
      </c>
      <c r="B23" s="125" t="s">
        <v>78</v>
      </c>
      <c r="C23" s="126">
        <f>(('Características dos Cabos'!$G$17*COS((D13/180)*3.1416)+'Características dos Cabos'!$I$17*SIN((D13/180)*3.1416))/$D$9^2)*100</f>
        <v>0.25481524421201895</v>
      </c>
      <c r="D23" s="127">
        <f>((('Características dos Cabos'!$G$17+0.5*'Características dos Cabos'!$G$14)*COS((D13/180)*3.1416)+('Características dos Cabos'!$H$17+0.5*'Características dos Cabos'!$H$14)*SIN((D13/180)*3.1416))/$D$9^2)*150</f>
        <v>1.065251914194</v>
      </c>
      <c r="E23" s="126">
        <f>((('Características dos Cabos'!$G$17+'Características dos Cabos'!$G$14)*COS((D13/180)*3.1416)+('Características dos Cabos'!$J$17+'Características dos Cabos'!$J$14)*SIN((D13/180)*3.1416))/$D$9^2)*300</f>
        <v>3.4153135687145451</v>
      </c>
      <c r="F23" s="126">
        <f>(('Características dos Cabos'!$F$28*COS((D13/180)*3.1416)+'Características dos Cabos'!$H$28*SIN((D13/180)*3.1416))/$D$9^2)*100</f>
        <v>0.24003267860486427</v>
      </c>
      <c r="G23" s="126">
        <f>((('Características dos Cabos'!$F$28+0.5*'Características dos Cabos'!$F$25)*COS((D13/180)*3.1416)+('Características dos Cabos'!$G$28+0.5*'Características dos Cabos'!$G$25)*SIN((D13/180)*3.1416))/$D$9^2)*150</f>
        <v>1.0275571465696418</v>
      </c>
      <c r="H23" s="126">
        <f>((('Características dos Cabos'!$F$28+'Características dos Cabos'!$F$25)*COS((D13/180)*3.1416)+('Características dos Cabos'!$I$28+'Características dos Cabos'!$I$25)*SIN((D13/180)*3.1416))/$D$9^2)*300</f>
        <v>3.3088204561666728</v>
      </c>
      <c r="I23" s="128" t="e">
        <f>(('Características dos Cabos'!$F$28*COS((J13/180)*3.1416)+'Características dos Cabos'!$J$28*SIN((J13/180)*3.1416))/$J$9^2)*100</f>
        <v>#DIV/0!</v>
      </c>
      <c r="J23" s="128" t="e">
        <f>((('Características dos Cabos'!$F$28+0.5*'Características dos Cabos'!$F$25)*COS((J13/180)*3.1416)+('Características dos Cabos'!$J$28+0.5*'Características dos Cabos'!$J$25)*SIN((J13/180)*3.1416))/$J$9^2)*150</f>
        <v>#DIV/0!</v>
      </c>
      <c r="K23" s="128" t="e">
        <f>((('Características dos Cabos'!$F$28+'Características dos Cabos'!$F$25)*COS((J13/180)*3.1416)+('Características dos Cabos'!$K$28+'Características dos Cabos'!$K$25)*SIN((J13/180)*3.1416))/$J$9^2)*300</f>
        <v>#DIV/0!</v>
      </c>
      <c r="L23" s="123" t="e">
        <f>((((('Características dos Cabos'!$F$28)/2+'Características dos Cabos'!$F$25)*COS(($M$13/180)*3.1416))+((('Características dos Cabos'!$J$28)/2+'Características dos Cabos'!$J$25)*SIN(($M$13/180)*3.1416)))/(($M$9/2)^2))*100</f>
        <v>#DIV/0!</v>
      </c>
      <c r="M23" s="123" t="e">
        <f>((((('Características dos Cabos'!$F$28)+'Características dos Cabos'!$F$25)*COS(($M$13/180)*3.1416))+((('Características dos Cabos'!$K$28)+'Características dos Cabos'!$K$25)*SIN(($M$13/180)*3.1416)))/(($M$9/2)^2))*100</f>
        <v>#DIV/0!</v>
      </c>
      <c r="AA23" s="2"/>
      <c r="AB23" s="2"/>
    </row>
    <row r="24" spans="1:28" ht="13.5" customHeight="1">
      <c r="A24" s="124" t="s">
        <v>85</v>
      </c>
      <c r="B24" s="125" t="s">
        <v>86</v>
      </c>
      <c r="C24" s="126">
        <f>(('Características dos Cabos'!$G$17*COS((D13/180)*3.1416)+'Características dos Cabos'!$I$17*SIN((D13/180)*3.1416))/$D$9^2)*100</f>
        <v>0.25481524421201895</v>
      </c>
      <c r="D24" s="127">
        <f>((('Características dos Cabos'!$G$17+0.5*'Características dos Cabos'!$G$15)*COS((D13/180)*3.1416)+('Características dos Cabos'!$H$17+0.5*'Características dos Cabos'!$H$15)*SIN((D13/180)*3.1416))/$D$9^2)*150</f>
        <v>0.84564720178692609</v>
      </c>
      <c r="E24" s="126">
        <f>((('Características dos Cabos'!$G$17+'Características dos Cabos'!$G$15)*COS((D13/180)*3.1416)+('Características dos Cabos'!$J$17+'Características dos Cabos'!$J$15)*SIN((D13/180)*3.1416))/$D$9^2)*300</f>
        <v>2.5368947190862499</v>
      </c>
      <c r="F24" s="126">
        <f>(('Características dos Cabos'!$F$28*COS((D13/180)*3.1416)+'Características dos Cabos'!$H$28*SIN((D13/180)*3.1416))/$D$9^2)*100</f>
        <v>0.24003267860486427</v>
      </c>
      <c r="G24" s="126">
        <f>((('Características dos Cabos'!$F$28+0.5*'Características dos Cabos'!$F$26)*COS((D13/180)*3.1416)+('Características dos Cabos'!$G$28+0.5*'Características dos Cabos'!$G$26)*SIN((D13/180)*3.1416))/$D$9^2)*150</f>
        <v>0.80684788904596083</v>
      </c>
      <c r="H24" s="126">
        <f>((('Características dos Cabos'!$F$28+'Características dos Cabos'!$F$26)*COS((D13/180)*3.1416)+('Características dos Cabos'!$I$28+'Características dos Cabos'!$I$26)*SIN((D13/180)*3.1416))/$D$9^2)*300</f>
        <v>2.4321573132623282</v>
      </c>
      <c r="I24" s="128" t="e">
        <f>(('Características dos Cabos'!$F$28*COS((J13/180)*3.1416)+'Características dos Cabos'!$J$28*SIN((J13/180)*3.1416))/$J$9^2)*100</f>
        <v>#DIV/0!</v>
      </c>
      <c r="J24" s="128" t="e">
        <f>((('Características dos Cabos'!$F$28+0.5*'Características dos Cabos'!$F$26)*COS((J13/180)*3.1416)+('Características dos Cabos'!$J$28+0.5*'Características dos Cabos'!$J$26)*SIN((J13/180)*3.1416))/$J$9^2)*150</f>
        <v>#DIV/0!</v>
      </c>
      <c r="K24" s="128" t="e">
        <f>((('Características dos Cabos'!$F$28+'Características dos Cabos'!$F$26)*COS((J13/180)*3.1416)+('Características dos Cabos'!$K$28+'Características dos Cabos'!$K$26)*SIN((J13/180)*3.1416))/$J$9^2)*300</f>
        <v>#DIV/0!</v>
      </c>
      <c r="L24" s="123" t="e">
        <f>((((('Características dos Cabos'!$F$28)/2+'Características dos Cabos'!$F$26)*COS(($M$13/180)*3.1416))+((('Características dos Cabos'!$J$28)/2+'Características dos Cabos'!$J$26)*SIN(($M$13/180)*3.1416)))/(($M$9/2)^2))*100</f>
        <v>#DIV/0!</v>
      </c>
      <c r="M24" s="123" t="e">
        <f>((((('Características dos Cabos'!$F$28)+'Características dos Cabos'!$F$26)*COS(($M$13/180)*3.1416))+((('Características dos Cabos'!$K$28)+'Características dos Cabos'!$K$26)*SIN(($M$13/180)*3.1416)))/(($M$9/2)^2))*100</f>
        <v>#DIV/0!</v>
      </c>
      <c r="AA24" s="2"/>
      <c r="AB24" s="2"/>
    </row>
    <row r="25" spans="1:28" ht="12.75">
      <c r="A25" s="124" t="s">
        <v>87</v>
      </c>
      <c r="B25" s="125" t="s">
        <v>88</v>
      </c>
      <c r="C25" s="126">
        <f>(('Características dos Cabos'!$G$17*COS((D13/180)*3.1416)+'Características dos Cabos'!$I$17*SIN((D13/180)*3.1416))/$D$9^2)*100</f>
        <v>0.25481524421201895</v>
      </c>
      <c r="D25" s="127">
        <f>((('Características dos Cabos'!$G$17+0.5*'Características dos Cabos'!$G$16)*COS((D13/180)*3.1416)+('Características dos Cabos'!$H$17+0.5*'Características dos Cabos'!$H$16)*SIN((D13/180)*3.1416))/$D$9^2)*150</f>
        <v>0.70649517577452536</v>
      </c>
      <c r="E25" s="126">
        <f>((('Características dos Cabos'!$G$17+'Características dos Cabos'!$G$16)*COS((D13/180)*3.1416)+('Características dos Cabos'!$J$17+'Características dos Cabos'!$J$16)*SIN((D13/180)*3.1416))/$D$9^2)*300</f>
        <v>1.9494171790847474</v>
      </c>
      <c r="F25" s="126">
        <f>(('Características dos Cabos'!$F$28*COS((D13/180)*3.1416)+'Características dos Cabos'!$H$28*SIN((D13/180)*3.1416))/$D$9^2)*100</f>
        <v>0.24003267860486427</v>
      </c>
      <c r="G25" s="126">
        <f>((('Características dos Cabos'!$F$28+0.5*'Características dos Cabos'!$F$27)*COS((D13/180)*3.1416)+('Características dos Cabos'!$G$28+0.5*'Características dos Cabos'!$G$27)*SIN((D13/180)*3.1416))/$D$9^2)*150</f>
        <v>0.66911151701718974</v>
      </c>
      <c r="H25" s="126">
        <f>((('Características dos Cabos'!$F$28+'Características dos Cabos'!$F$27)*COS((D13/180)*3.1416)+('Características dos Cabos'!$I$28+'Características dos Cabos'!$I$27)*SIN((D13/180)*3.1416))/$D$9^2)*300</f>
        <v>1.8749761990849609</v>
      </c>
      <c r="I25" s="128" t="e">
        <f>(('Características dos Cabos'!$F$28*COS((J13/180)*3.1416)+'Características dos Cabos'!$J$28*SIN((J13/180)*3.1416))/$J$9^2)*100</f>
        <v>#DIV/0!</v>
      </c>
      <c r="J25" s="128" t="e">
        <f>((('Características dos Cabos'!$F$28+0.5*'Características dos Cabos'!$F$27)*COS((J13/180)*3.1416)+('Características dos Cabos'!$J$28+0.5*'Características dos Cabos'!$J$27)*SIN((J13/180)*3.1416))/$J$9^2)*150</f>
        <v>#DIV/0!</v>
      </c>
      <c r="K25" s="128" t="e">
        <f>((('Características dos Cabos'!$F$28+'Características dos Cabos'!$F$27)*COS((J13/180)*3.1416)+('Características dos Cabos'!$K$28+'Características dos Cabos'!$K$27)*SIN((J13/180)*3.1416))/$J$9^2)*300</f>
        <v>#DIV/0!</v>
      </c>
      <c r="L25" s="123" t="e">
        <f>((((('Características dos Cabos'!$F$28)/2+'Características dos Cabos'!$F$27)*COS(($M$13/180)*3.1416))+((('Características dos Cabos'!$J$28)/2+'Características dos Cabos'!$J$27)*SIN(($M$13/180)*3.1416)))/(($M$9/2)^2))*100</f>
        <v>#DIV/0!</v>
      </c>
      <c r="M25" s="123" t="e">
        <f>((((('Características dos Cabos'!$F$28)+'Características dos Cabos'!$F$27)*COS(($M$13/180)*3.1416))+((('Características dos Cabos'!$K$28)+'Características dos Cabos'!$K$27)*SIN(($M$13/180)*3.1416)))/(($M$9/2)^2))*100</f>
        <v>#DIV/0!</v>
      </c>
      <c r="AA25" s="2"/>
      <c r="AB25" s="2"/>
    </row>
    <row r="26" spans="1:28" ht="12.75">
      <c r="A26" s="124" t="s">
        <v>89</v>
      </c>
      <c r="B26" s="125" t="s">
        <v>80</v>
      </c>
      <c r="C26" s="126">
        <f>(('Características dos Cabos'!$G$18*COS((D13/180)*3.1416)+'Características dos Cabos'!$I$18*SIN((D13/180)*3.1416))/$D$9^2)*100</f>
        <v>0.17869318996270606</v>
      </c>
      <c r="D26" s="127">
        <f>((('Características dos Cabos'!$G$18+0.5*'Características dos Cabos'!$G$14)*COS((D13/180)*3.1416)+('Características dos Cabos'!$H$18+0.5*'Características dos Cabos'!$H$14)*SIN((D13/180)*3.1416))/$D$9^2)*150</f>
        <v>0.95109970225598239</v>
      </c>
      <c r="E26" s="126">
        <f>((('Características dos Cabos'!$G$18+'Características dos Cabos'!$G$14)*COS((D13/180)*3.1416)+('Características dos Cabos'!$J$18+'Características dos Cabos'!$J$14)*SIN((D13/180)*3.1416))/$D$9^2)*300</f>
        <v>3.1870091448385089</v>
      </c>
      <c r="F26" s="126">
        <f>(('Características dos Cabos'!$F$29*COS((D13/180)*3.1416)+'Características dos Cabos'!$H$29*SIN((D13/180)*3.1416))/$D$9^2)*100</f>
        <v>0.17956941210876362</v>
      </c>
      <c r="G26" s="126">
        <f>((('Características dos Cabos'!$F$29+0.5*'Características dos Cabos'!$F$25)*COS((D13/180)*3.1416)+('Características dos Cabos'!$G$29+0.5*'Características dos Cabos'!$G$25)*SIN((D13/180)*3.1416))/$D$9^2)*150</f>
        <v>0.93683137738953903</v>
      </c>
      <c r="H26" s="126">
        <f>((('Características dos Cabos'!$F$29+'Características dos Cabos'!$F$25)*COS((D13/180)*3.1416)+('Características dos Cabos'!$I$29+'Características dos Cabos'!$I$25)*SIN((D13/180)*3.1416))/$D$9^2)*300</f>
        <v>3.1273689178064665</v>
      </c>
      <c r="I26" s="128" t="e">
        <f>(('Características dos Cabos'!$F$29*COS((J13/180)*3.1416)+'Características dos Cabos'!$J$29*SIN((J13/180)*3.1416))/$J$9^2)*100</f>
        <v>#DIV/0!</v>
      </c>
      <c r="J26" s="128" t="e">
        <f>((('Características dos Cabos'!$F$29+0.5*'Características dos Cabos'!$F$25)*COS((J13/180)*3.1416)+('Características dos Cabos'!$J$29+0.5*'Características dos Cabos'!$J$25)*SIN((J13/180)*3.1416))/$J$9^2)*150</f>
        <v>#DIV/0!</v>
      </c>
      <c r="K26" s="128" t="e">
        <f>((('Características dos Cabos'!$F$29+'Características dos Cabos'!$F$25)*COS((J13/180)*3.1416)+('Características dos Cabos'!$K$29+'Características dos Cabos'!$K$25)*SIN((J13/180)*3.1416))/$J$9^2)*300</f>
        <v>#DIV/0!</v>
      </c>
      <c r="L26" s="123" t="e">
        <f>((((('Características dos Cabos'!$F$29)/2+'Características dos Cabos'!$F$25)*COS(($M$13/180)*3.1416))+((('Características dos Cabos'!$J$29)/2+'Características dos Cabos'!$J$25)*SIN(($M$13/180)*3.1416)))/(($M$9/2)^2))*100</f>
        <v>#DIV/0!</v>
      </c>
      <c r="M26" s="123" t="e">
        <f>((((('Características dos Cabos'!$F$29)+'Características dos Cabos'!$F$25)*COS(($M$13/180)*3.1416))+((('Características dos Cabos'!$K$29)+'Características dos Cabos'!$K$25)*SIN(($M$13/180)*3.1416)))/(($M$9/2)^2))*100</f>
        <v>#DIV/0!</v>
      </c>
      <c r="AA26" s="2"/>
      <c r="AB26" s="2"/>
    </row>
    <row r="27" spans="1:28" ht="12.75">
      <c r="A27" s="124" t="s">
        <v>91</v>
      </c>
      <c r="B27" s="125" t="s">
        <v>92</v>
      </c>
      <c r="C27" s="126">
        <f>(('Características dos Cabos'!$G$18*COS((D13/180)*3.1416)+'Características dos Cabos'!$I$18*SIN((D13/180)*3.1416))/$D$9^2)*100</f>
        <v>0.17869318996270606</v>
      </c>
      <c r="D27" s="127">
        <f>((('Características dos Cabos'!$G$18+0.5*'Características dos Cabos'!$G$15)*COS((D13/180)*3.1416)+('Características dos Cabos'!$H$18+0.5*'Características dos Cabos'!$H$15)*SIN((D13/180)*3.1416))/$D$9^2)*150</f>
        <v>0.73149498984890871</v>
      </c>
      <c r="E27" s="126">
        <f>((('Características dos Cabos'!$G$18+'Características dos Cabos'!$G$15)*COS((D13/180)*3.1416)+('Características dos Cabos'!$J$18+'Características dos Cabos'!$J$15)*SIN((D13/180)*3.1416))/$D$9^2)*300</f>
        <v>2.3085902952102151</v>
      </c>
      <c r="F27" s="126">
        <f>(('Características dos Cabos'!$F$29*COS((D13/180)*3.1416)+'Características dos Cabos'!$H$29*SIN((D13/180)*3.1416))/$D$9^2)*100</f>
        <v>0.17956941210876362</v>
      </c>
      <c r="G27" s="126">
        <f>((('Características dos Cabos'!$F$29+0.5*'Características dos Cabos'!$F$26)*COS((D13/180)*3.1416)+('Características dos Cabos'!$G$29+0.5*'Características dos Cabos'!$G$26)*SIN((D13/180)*3.1416))/$D$9^2)*150</f>
        <v>0.71612211986585794</v>
      </c>
      <c r="H27" s="126">
        <f>((('Características dos Cabos'!$F$29+'Características dos Cabos'!$F$26)*COS((D13/180)*3.1416)+('Características dos Cabos'!$I$29+'Características dos Cabos'!$I$26)*SIN((D13/180)*3.1416))/$D$9^2)*300</f>
        <v>2.2507057749021224</v>
      </c>
      <c r="I27" s="128" t="e">
        <f>(('Características dos Cabos'!$F$29*COS((J13/180)*3.1416)+'Características dos Cabos'!$J$29*SIN((J13/180)*3.1416))/$J$9^2)*100</f>
        <v>#DIV/0!</v>
      </c>
      <c r="J27" s="128" t="e">
        <f>((('Características dos Cabos'!$F$29+0.5*'Características dos Cabos'!$F$26)*COS((J13/180)*3.1416)+('Características dos Cabos'!$J$29+0.5*'Características dos Cabos'!$J$26)*SIN((J13/180)*3.1416))/$J$9^2)*150</f>
        <v>#DIV/0!</v>
      </c>
      <c r="K27" s="128" t="e">
        <f>((('Características dos Cabos'!$F$29+'Características dos Cabos'!$F$26)*COS((J13/180)*3.1416)+('Características dos Cabos'!$K$29+'Características dos Cabos'!$K$26)*SIN((J13/180)*3.1416))/$J$9^2)*300</f>
        <v>#DIV/0!</v>
      </c>
      <c r="L27" s="123" t="e">
        <f>((((('Características dos Cabos'!$F$29)/2+'Características dos Cabos'!$F$26)*COS(($M$13/180)*3.1416))+((('Características dos Cabos'!$J$29)/2+'Características dos Cabos'!$J$26)*SIN(($M$13/180)*3.1416)))/(($M$9/2)^2))*100</f>
        <v>#DIV/0!</v>
      </c>
      <c r="M27" s="123" t="e">
        <f>((((('Características dos Cabos'!$F$29)+'Características dos Cabos'!$F$26)*COS(($M$13/180)*3.1416))+((('Características dos Cabos'!$K$29)+'Características dos Cabos'!$K$26)*SIN(($M$13/180)*3.1416)))/(($M$9/2)^2))*100</f>
        <v>#DIV/0!</v>
      </c>
      <c r="AA27" s="2"/>
      <c r="AB27" s="2"/>
    </row>
    <row r="28" spans="1:28" ht="12.75">
      <c r="A28" s="124" t="s">
        <v>93</v>
      </c>
      <c r="B28" s="125" t="s">
        <v>94</v>
      </c>
      <c r="C28" s="126">
        <f>(('Características dos Cabos'!$G$18*COS((D13/180)*3.1416)+'Características dos Cabos'!$I$18*SIN((D13/180)*3.1416))/$D$9^2)*100</f>
        <v>0.17869318996270606</v>
      </c>
      <c r="D28" s="127">
        <f>((('Características dos Cabos'!$G$18+0.5*'Características dos Cabos'!$G$16)*COS((D13/180)*3.1416)+('Características dos Cabos'!$H$18+0.5*'Características dos Cabos'!$H$16)*SIN((D13/180)*3.1416))/$D$9^2)*150</f>
        <v>0.59234296383650786</v>
      </c>
      <c r="E28" s="126">
        <f>((('Características dos Cabos'!$G$18+'Características dos Cabos'!$G$16)*COS((D13/180)*3.1416)+('Características dos Cabos'!$J$18+'Características dos Cabos'!$J$16)*SIN((D13/180)*3.1416))/$D$9^2)*300</f>
        <v>1.7211127552087127</v>
      </c>
      <c r="F28" s="126">
        <f>(('Características dos Cabos'!$F$29*COS((D13/180)*3.1416)+'Características dos Cabos'!$H$29*SIN((D13/180)*3.1416))/$D$9^2)*100</f>
        <v>0.17956941210876362</v>
      </c>
      <c r="G28" s="126">
        <f>((('Características dos Cabos'!$F$29+0.5*'Características dos Cabos'!$F$27)*COS((D13/180)*3.1416)+('Características dos Cabos'!$G$29+0.5*'Características dos Cabos'!$G$27)*SIN((D13/180)*3.1416))/$D$9^2)*150</f>
        <v>0.57838574783708696</v>
      </c>
      <c r="H28" s="126">
        <f>((('Características dos Cabos'!$F$29+'Características dos Cabos'!$F$27)*COS((D13/180)*3.1416)+('Características dos Cabos'!$I$29+'Características dos Cabos'!$I$27)*SIN((D13/180)*3.1416))/$D$9^2)*300</f>
        <v>1.6935246607247552</v>
      </c>
      <c r="I28" s="128" t="e">
        <f>(('Características dos Cabos'!$F$29*COS((J13/180)*3.1416)+'Características dos Cabos'!$J$29*SIN((J13/180)*3.1416))/$J$9^2)*100</f>
        <v>#DIV/0!</v>
      </c>
      <c r="J28" s="128" t="e">
        <f>((('Características dos Cabos'!$F$29+0.5*'Características dos Cabos'!$F$27)*COS((J13/180)*3.1416)+('Características dos Cabos'!$J$29+0.5*'Características dos Cabos'!$J$27)*SIN((J13/180)*3.1416))/$J$9^2)*150</f>
        <v>#DIV/0!</v>
      </c>
      <c r="K28" s="128" t="e">
        <f>((('Características dos Cabos'!$F$29+'Características dos Cabos'!$F$27)*COS((J13/180)*3.1416)+('Características dos Cabos'!$K$29+'Características dos Cabos'!$K$27)*SIN((J13/180)*3.1416))/$J$9^2)*300</f>
        <v>#DIV/0!</v>
      </c>
      <c r="L28" s="123" t="e">
        <f>((((('Características dos Cabos'!$F$29)/2+'Características dos Cabos'!$F$27)*COS(($M$13/180)*3.1416))+((('Características dos Cabos'!$J$29)/2+'Características dos Cabos'!$J$27)*SIN(($M$13/180)*3.1416)))/(($M$9/2)^2))*100</f>
        <v>#DIV/0!</v>
      </c>
      <c r="M28" s="123" t="e">
        <f>((((('Características dos Cabos'!$F$29)+'Características dos Cabos'!$F$27)*COS(($M$13/180)*3.1416))+((('Características dos Cabos'!$K$29)+'Características dos Cabos'!$K$27)*SIN(($M$13/180)*3.1416)))/(($M$9/2)^2))*100</f>
        <v>#DIV/0!</v>
      </c>
      <c r="AA28" s="2"/>
      <c r="AB28" s="2"/>
    </row>
    <row r="29" spans="1:28" ht="13.5" thickBot="1">
      <c r="A29" s="129" t="s">
        <v>95</v>
      </c>
      <c r="B29" s="130" t="s">
        <v>38</v>
      </c>
      <c r="C29" s="131">
        <f>(('Características dos Cabos'!$G$18*COS((D13/180)*3.1416)+'Características dos Cabos'!$I$18*SIN((D13/180)*3.1416))/$D$9^2)*100</f>
        <v>0.17869318996270606</v>
      </c>
      <c r="D29" s="132">
        <f>((('Características dos Cabos'!$G$18+0.5*'Características dos Cabos'!$G$17)*COS((D13/180)*3.1416)+('Características dos Cabos'!$H$18+0.5*'Características dos Cabos'!$H$17)*SIN((D13/180)*3.1416))/$D$9^2)*150</f>
        <v>0.46779466016960503</v>
      </c>
      <c r="E29" s="131">
        <f>((('Características dos Cabos'!$G$18+'Características dos Cabos'!$G$17)*COS((D13/180)*3.1416)+('Características dos Cabos'!$J$18+'Características dos Cabos'!$J$17)*SIN((D13/180)*3.1416))/$D$9^2)*300</f>
        <v>1.2537889764930001</v>
      </c>
      <c r="F29" s="131">
        <f>(('Características dos Cabos'!$F$29*COS((D13/180)*3.1416)+'Características dos Cabos'!$H$29*SIN((D13/180)*3.1416))/$D$9^2)*100</f>
        <v>0.17956941210876362</v>
      </c>
      <c r="G29" s="131">
        <f>((('Características dos Cabos'!$F$29+0.5*'Características dos Cabos'!$F$28)*COS((D13/180)*3.1416)+('Características dos Cabos'!$G$29+0.5*'Características dos Cabos'!$G$28)*SIN((D13/180)*3.1416))/$D$9^2)*150</f>
        <v>0.45800663446534934</v>
      </c>
      <c r="H29" s="131">
        <f>((('Características dos Cabos'!$F$29+'Características dos Cabos'!$F$28)*COS((D13/180)*3.1416)+('Características dos Cabos'!$I$29+'Características dos Cabos'!$I$28)*SIN((D13/180)*3.1416))/$D$9^2)*300</f>
        <v>1.2120699461097086</v>
      </c>
      <c r="I29" s="133" t="e">
        <f>(('Características dos Cabos'!$F$29*COS((J13/180)*3.1416)+'Características dos Cabos'!$J$29*SIN((J13/180)*3.1416))/$J$9^2)*100</f>
        <v>#DIV/0!</v>
      </c>
      <c r="J29" s="133" t="e">
        <f>((('Características dos Cabos'!$F$29+0.5*'Características dos Cabos'!$F$28)*COS((J13/180)*3.1416)+('Características dos Cabos'!$J$29+0.5*'Características dos Cabos'!$J$28)*SIN((J13/180)*3.1416))/$J$9^2)*150</f>
        <v>#DIV/0!</v>
      </c>
      <c r="K29" s="133" t="e">
        <f>((('Características dos Cabos'!$F$29+'Características dos Cabos'!$F$28)*COS((J13/180)*3.1416)+('Características dos Cabos'!$K$29+'Características dos Cabos'!$K$28)*SIN((J13/180)*3.1416))/$J$9^2)*300</f>
        <v>#DIV/0!</v>
      </c>
      <c r="L29" s="134" t="e">
        <f>((((('Características dos Cabos'!$F$29)/2+'Características dos Cabos'!$F$28)*COS(($M$13/180)*3.1416))+((('Características dos Cabos'!$J$28)/2+'Características dos Cabos'!$J$28)*SIN(($M$13/180)*3.1416)))/(($M$9/2)^2))*100</f>
        <v>#DIV/0!</v>
      </c>
      <c r="M29" s="134" t="e">
        <f>((((('Características dos Cabos'!$F$29)+'Características dos Cabos'!$F$28)*COS(($M$13/180)*3.1416))+((('Características dos Cabos'!$K$29)+'Características dos Cabos'!$K$28)*SIN(($M$13/180)*3.1416)))/(($M$9/2)^2))*100</f>
        <v>#DIV/0!</v>
      </c>
      <c r="AA29" s="2"/>
      <c r="AB29" s="2"/>
    </row>
    <row r="30" spans="1:13" ht="13.5" customHeight="1">
      <c r="A30" s="2"/>
      <c r="B30" s="2"/>
      <c r="C30" s="2"/>
      <c r="D30" s="2"/>
      <c r="E30" s="2"/>
      <c r="F30" s="2"/>
      <c r="G30" s="2"/>
      <c r="H30" s="2"/>
      <c r="I30" s="135"/>
      <c r="J30" s="135"/>
      <c r="K30" s="2"/>
      <c r="L30" s="2"/>
      <c r="M30" s="2"/>
    </row>
    <row r="31" spans="1:13" ht="12.75" customHeight="1">
      <c r="A31" s="729"/>
      <c r="B31" s="729"/>
      <c r="C31" s="729"/>
      <c r="D31" s="11"/>
      <c r="E31" s="9"/>
      <c r="F31" s="2"/>
      <c r="G31" s="2"/>
      <c r="H31" s="2"/>
      <c r="I31" s="2"/>
      <c r="J31" s="2"/>
      <c r="K31" s="2"/>
      <c r="L31" s="2"/>
      <c r="M31" s="2"/>
    </row>
    <row r="32" spans="1:13" ht="12.75">
      <c r="A32" s="729"/>
      <c r="B32" s="729"/>
      <c r="C32" s="729"/>
      <c r="D32" s="11"/>
      <c r="E32" s="8"/>
      <c r="F32" s="2"/>
      <c r="G32" s="2"/>
      <c r="H32" s="2"/>
      <c r="I32" s="2"/>
      <c r="J32" s="2"/>
      <c r="K32" s="2"/>
      <c r="L32" s="2"/>
      <c r="M32" s="2"/>
    </row>
    <row r="33" spans="6:6" ht="12.75">
      <c r="F33" s="1"/>
    </row>
    <row r="34" spans="6:6" ht="12.75">
      <c r="F34" s="339"/>
    </row>
    <row r="35" spans="6:6" ht="12.75">
      <c r="F35" s="1"/>
    </row>
    <row r="36" spans="6:6" ht="12.75">
      <c r="F36" s="12"/>
    </row>
    <row r="37" spans="6:6" ht="12.75">
      <c r="F37" s="12"/>
    </row>
    <row r="38" spans="6:6" ht="12.75">
      <c r="F38" s="12"/>
    </row>
    <row r="39" spans="6:6" ht="12.75">
      <c r="F39" s="12"/>
    </row>
    <row r="40" spans="6:6" ht="12.75">
      <c r="F40" s="12"/>
    </row>
    <row r="41" spans="6:6" ht="12.75">
      <c r="F41" s="12"/>
    </row>
    <row r="42" spans="6:6" ht="12.75">
      <c r="F42" s="12"/>
    </row>
    <row r="43" spans="6:6" ht="12.75">
      <c r="F43" s="12"/>
    </row>
    <row r="44" spans="6:6" ht="12.75">
      <c r="F44" s="12"/>
    </row>
    <row r="45" spans="6:6" ht="12.75">
      <c r="F45" s="12"/>
    </row>
    <row r="46" spans="6:6" ht="12.75">
      <c r="F46" s="12"/>
    </row>
    <row r="47" spans="6:6" ht="12.75">
      <c r="F47" s="12"/>
    </row>
  </sheetData>
  <customSheetViews>
    <customSheetView guid="{adcfddaa-af71-42ce-8fd7-7abb67cb940b}" hiddenColumns="1" printArea="1" scale="60" showGridLines="0" showPageBreaks="1" topLeftCell="A1" view="pageBreakPreview">
      <selection pane="topLeft" activeCell="C18" sqref="C18"/>
      <pageMargins left="0" right="0" top="0" bottom="0" header="0" footer="0"/>
      <printOptions horizontalCentered="1" verticalCentered="1"/>
      <pageSetup horizontalDpi="300" verticalDpi="300" orientation="landscape" paperSize="9" scale="84" r:id="rId3"/>
      <headerFooter alignWithMargins="0"/>
    </customSheetView>
  </customSheetViews>
  <mergeCells count="16">
    <mergeCell ref="A2:M2"/>
    <mergeCell ref="A3:M3"/>
    <mergeCell ref="L8:M8"/>
    <mergeCell ref="C7:H7"/>
    <mergeCell ref="I7:M7"/>
    <mergeCell ref="A5:M5"/>
    <mergeCell ref="A31:C31"/>
    <mergeCell ref="A32:C32"/>
    <mergeCell ref="A16:A17"/>
    <mergeCell ref="I8:J8"/>
    <mergeCell ref="I16:J16"/>
    <mergeCell ref="C15:E15"/>
    <mergeCell ref="F15:M15"/>
    <mergeCell ref="C14:D14"/>
    <mergeCell ref="I14:J14"/>
    <mergeCell ref="L14:M14"/>
  </mergeCells>
  <printOptions horizontalCentered="1"/>
  <pageMargins left="0.393700787401575" right="0.393700787401575" top="0.393700787401575" bottom="0.393700787401575" header="0.511811023622047" footer="0"/>
  <pageSetup horizontalDpi="300" verticalDpi="300" orientation="landscape" paperSize="9" r:id="rId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0"/>
  <dimension ref="A1:AR197"/>
  <sheetViews>
    <sheetView showGridLines="0" showZeros="0" zoomScale="80" zoomScaleNormal="80" zoomScaleSheetLayoutView="80" workbookViewId="0" topLeftCell="A1">
      <selection pane="topLeft" activeCell="C35" sqref="C35"/>
    </sheetView>
  </sheetViews>
  <sheetFormatPr defaultColWidth="9.28428571428571" defaultRowHeight="12.75"/>
  <cols>
    <col min="1" max="2" width="3.42857142857143" customWidth="1"/>
    <col min="3" max="3" width="14.2857142857143" customWidth="1"/>
    <col min="4" max="4" width="11.1428571428571" customWidth="1"/>
    <col min="5" max="5" width="13.2857142857143" customWidth="1"/>
    <col min="6" max="6" width="5" hidden="1" customWidth="1"/>
    <col min="7" max="7" width="16.7142857142857" customWidth="1"/>
    <col min="8" max="8" width="10.2857142857143" customWidth="1"/>
    <col min="9" max="9" width="2.71428571428571" hidden="1" customWidth="1"/>
    <col min="10" max="10" width="11.2857142857143" customWidth="1"/>
    <col min="11" max="11" width="12.2857142857143" customWidth="1"/>
    <col min="12" max="12" width="10.7142857142857" customWidth="1"/>
    <col min="13" max="13" width="9.28571428571429" style="1" hidden="1" customWidth="1"/>
    <col min="14" max="14" width="13.5714285714286" customWidth="1"/>
    <col min="15" max="15" width="13.7142857142857" customWidth="1"/>
    <col min="16" max="16" width="12.5714285714286" customWidth="1"/>
    <col min="17" max="17" width="16.7142857142857" customWidth="1"/>
    <col min="18" max="18" width="13.2857142857143" hidden="1" customWidth="1"/>
    <col min="19" max="19" width="13.7142857142857" hidden="1" customWidth="1"/>
    <col min="20" max="20" width="11.7142857142857" customWidth="1"/>
    <col min="21" max="22" width="9.28571428571429" hidden="1" customWidth="1"/>
    <col min="23" max="23" width="10.2857142857143" hidden="1" customWidth="1"/>
    <col min="24" max="24" width="11.5714285714286" hidden="1" customWidth="1"/>
    <col min="25" max="25" width="17.7142857142857" customWidth="1"/>
    <col min="26" max="26" width="13.7142857142857" style="393" hidden="1" customWidth="1"/>
    <col min="27" max="27" width="16.4285714285714" style="393" hidden="1" customWidth="1"/>
    <col min="28" max="28" width="16.8571428571429" style="393" hidden="1" customWidth="1"/>
    <col min="29" max="29" width="15.4285714285714" style="393" hidden="1" customWidth="1"/>
    <col min="30" max="30" width="14.4285714285714" style="393" hidden="1" customWidth="1"/>
    <col min="31" max="31" width="11.8571428571429" style="393" hidden="1" customWidth="1"/>
    <col min="32" max="33" width="11.7142857142857" style="393" hidden="1" customWidth="1"/>
    <col min="34" max="34" width="18.5714285714286" style="393" hidden="1" customWidth="1"/>
    <col min="35" max="35" width="15.5714285714286" style="393" customWidth="1"/>
    <col min="36" max="36" width="12.4285714285714" style="393" customWidth="1"/>
    <col min="37" max="37" width="15" style="393" customWidth="1"/>
    <col min="38" max="38" width="16.7142857142857" style="393" customWidth="1"/>
    <col min="39" max="39" width="13.5714285714286" style="393" customWidth="1"/>
    <col min="40" max="40" width="11.4285714285714" style="393" customWidth="1"/>
    <col min="41" max="41" width="9.85714285714286" style="393" hidden="1" customWidth="1"/>
    <col min="42" max="42" width="12.1428571428571" style="393" hidden="1" customWidth="1"/>
    <col min="43" max="43" width="12.5714285714286" style="393" hidden="1" customWidth="1"/>
    <col min="44" max="44" width="15" style="393" hidden="1" customWidth="1"/>
    <col min="45" max="45" width="11.4285714285714" style="393" customWidth="1"/>
    <col min="46" max="73" width="9.28571428571429" customWidth="1"/>
    <col min="16384" max="16384" width="15.7142857142857" customWidth="1"/>
  </cols>
  <sheetData>
    <row r="1" spans="1:27" ht="18">
      <c r="A1" s="591"/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AA1" s="393">
        <v>0</v>
      </c>
    </row>
    <row r="2" spans="1:25" ht="20.25">
      <c r="A2" s="632" t="s">
        <v>4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</row>
    <row r="4" ht="12" customHeight="1"/>
    <row r="5" spans="1:36" ht="20.25">
      <c r="A5" s="632" t="s">
        <v>101</v>
      </c>
      <c r="B5" s="632"/>
      <c r="C5" s="632"/>
      <c r="D5" s="632"/>
      <c r="E5" s="632"/>
      <c r="F5" s="632"/>
      <c r="G5" s="632"/>
      <c r="H5" s="632"/>
      <c r="I5" s="632"/>
      <c r="J5" s="632"/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2"/>
      <c r="V5" s="632"/>
      <c r="W5" s="632"/>
      <c r="X5" s="632"/>
      <c r="Y5" s="632"/>
      <c r="AJ5" s="394"/>
    </row>
    <row r="6" spans="1:36" ht="12" customHeight="1" thickBot="1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AJ6" s="394"/>
    </row>
    <row r="7" spans="1:25" ht="16.5" customHeight="1">
      <c r="A7" s="2"/>
      <c r="B7" s="2"/>
      <c r="C7" s="327" t="s">
        <v>6</v>
      </c>
      <c r="D7" s="655"/>
      <c r="E7" s="656"/>
      <c r="F7" s="656"/>
      <c r="G7" s="657"/>
      <c r="H7" s="179" t="s">
        <v>7</v>
      </c>
      <c r="I7" s="658"/>
      <c r="J7" s="658"/>
      <c r="K7" s="658"/>
      <c r="L7" s="658"/>
      <c r="M7" s="658"/>
      <c r="N7" s="658"/>
      <c r="O7" s="181" t="s">
        <v>8</v>
      </c>
      <c r="P7" s="658"/>
      <c r="Q7" s="658"/>
      <c r="R7" s="658"/>
      <c r="S7" s="658"/>
      <c r="T7" s="658"/>
      <c r="U7" s="658"/>
      <c r="V7" s="658"/>
      <c r="W7" s="658"/>
      <c r="X7" s="658"/>
      <c r="Y7" s="682"/>
    </row>
    <row r="8" spans="1:34" ht="15" customHeight="1" thickBot="1">
      <c r="A8" s="2"/>
      <c r="B8" s="2"/>
      <c r="C8" s="328" t="s">
        <v>9</v>
      </c>
      <c r="D8" s="652"/>
      <c r="E8" s="653"/>
      <c r="F8" s="653"/>
      <c r="G8" s="654"/>
      <c r="H8" s="180" t="s">
        <v>102</v>
      </c>
      <c r="I8" s="446"/>
      <c r="J8" s="683"/>
      <c r="K8" s="683"/>
      <c r="L8" s="683"/>
      <c r="M8" s="683"/>
      <c r="N8" s="683"/>
      <c r="O8" s="329" t="s">
        <v>11</v>
      </c>
      <c r="P8" s="683"/>
      <c r="Q8" s="683"/>
      <c r="R8" s="683"/>
      <c r="S8" s="683"/>
      <c r="T8" s="683"/>
      <c r="U8" s="683"/>
      <c r="V8" s="683"/>
      <c r="W8" s="683"/>
      <c r="X8" s="683"/>
      <c r="Y8" s="684"/>
      <c r="AE8" s="420"/>
      <c r="AF8" s="420"/>
      <c r="AG8" s="420"/>
      <c r="AH8" s="420"/>
    </row>
    <row r="9" spans="1:34" ht="5.25" customHeight="1" thickBo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171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394"/>
      <c r="AA9" s="394"/>
      <c r="AB9" s="394"/>
      <c r="AC9" s="394"/>
      <c r="AD9" s="394"/>
      <c r="AE9" s="421"/>
      <c r="AF9" s="421"/>
      <c r="AG9" s="420"/>
      <c r="AH9" s="420"/>
    </row>
    <row r="10" spans="1:34" ht="39.95" customHeight="1" thickBot="1">
      <c r="A10" s="2"/>
      <c r="B10" s="2"/>
      <c r="C10" s="747" t="s">
        <v>12</v>
      </c>
      <c r="D10" s="748"/>
      <c r="E10" s="749"/>
      <c r="F10" s="581"/>
      <c r="G10" s="431" t="s">
        <v>206</v>
      </c>
      <c r="H10" s="680" t="s">
        <v>14</v>
      </c>
      <c r="I10" s="675"/>
      <c r="J10" s="676"/>
      <c r="K10" s="681" t="s">
        <v>104</v>
      </c>
      <c r="L10" s="676"/>
      <c r="M10" s="351"/>
      <c r="N10" s="679" t="s">
        <v>33</v>
      </c>
      <c r="O10" s="679"/>
      <c r="P10" s="679" t="s">
        <v>17</v>
      </c>
      <c r="Q10" s="679"/>
      <c r="R10" s="229"/>
      <c r="S10" s="229"/>
      <c r="T10" s="680" t="s">
        <v>18</v>
      </c>
      <c r="U10" s="675"/>
      <c r="V10" s="675"/>
      <c r="W10" s="675"/>
      <c r="X10" s="675"/>
      <c r="Y10" s="676"/>
      <c r="Z10" s="398"/>
      <c r="AA10" s="399"/>
      <c r="AB10" s="400"/>
      <c r="AE10" s="420"/>
      <c r="AF10" s="420"/>
      <c r="AG10" s="420"/>
      <c r="AH10" s="420"/>
    </row>
    <row r="11" spans="1:34" ht="13.5" thickBot="1">
      <c r="A11" s="2"/>
      <c r="B11" s="2"/>
      <c r="C11" s="583"/>
      <c r="D11" s="583"/>
      <c r="E11" s="583"/>
      <c r="F11" s="582"/>
      <c r="G11" s="584"/>
      <c r="I11" s="2"/>
      <c r="J11" s="167"/>
      <c r="L11" s="226"/>
      <c r="M11" s="171"/>
      <c r="N11" s="2"/>
      <c r="O11" s="227" t="str">
        <f>IF(OR(H19="",H33=""),"",SUM(F19:G194))</f>
        <v/>
      </c>
      <c r="P11" s="155" t="s">
        <v>19</v>
      </c>
      <c r="Q11" s="228" t="str">
        <f>IF(T20="","",MAX(T20:T195))</f>
        <v/>
      </c>
      <c r="R11" s="2"/>
      <c r="S11" s="2"/>
      <c r="T11" s="171" t="s">
        <v>19</v>
      </c>
      <c r="U11" s="171"/>
      <c r="V11" s="171"/>
      <c r="W11" s="1"/>
      <c r="X11" s="172"/>
      <c r="Y11" s="173" t="str">
        <f>IF(P20="","",MAX(P20:P195))</f>
        <v/>
      </c>
      <c r="Z11" s="401"/>
      <c r="AA11" s="402"/>
      <c r="AB11" s="403"/>
      <c r="AE11" s="420"/>
      <c r="AF11" s="420"/>
      <c r="AG11" s="420"/>
      <c r="AH11" s="420"/>
    </row>
    <row r="12" spans="1:34" ht="13.5" thickBot="1">
      <c r="A12" s="2"/>
      <c r="B12" s="2"/>
      <c r="C12" s="677" t="s">
        <v>106</v>
      </c>
      <c r="D12" s="678"/>
      <c r="E12" s="671" t="s">
        <v>21</v>
      </c>
      <c r="F12" s="671"/>
      <c r="G12" s="671"/>
      <c r="H12" s="667" t="s">
        <v>107</v>
      </c>
      <c r="I12" s="668"/>
      <c r="J12" s="669"/>
      <c r="K12" s="667" t="s">
        <v>15</v>
      </c>
      <c r="L12" s="669"/>
      <c r="M12" s="171"/>
      <c r="N12" s="671" t="s">
        <v>16</v>
      </c>
      <c r="O12" s="672"/>
      <c r="P12" s="155" t="s">
        <v>25</v>
      </c>
      <c r="Q12" s="170" t="str">
        <f>IF(Q11="","",VLOOKUP(Q11,T20:AA195,8,FALSE))</f>
        <v/>
      </c>
      <c r="R12" s="2"/>
      <c r="S12" s="2"/>
      <c r="T12" s="171" t="s">
        <v>25</v>
      </c>
      <c r="U12" s="171"/>
      <c r="V12" s="171"/>
      <c r="W12" s="1"/>
      <c r="X12" s="174"/>
      <c r="Y12" s="170" t="str">
        <f>IF(Y11="","",VLOOKUP(Y11,P20:AA195,12,FALSE))</f>
        <v/>
      </c>
      <c r="Z12" s="401"/>
      <c r="AA12" s="404" t="s">
        <v>108</v>
      </c>
      <c r="AB12" s="405" t="s">
        <v>109</v>
      </c>
      <c r="AE12" s="420"/>
      <c r="AF12" s="420"/>
      <c r="AG12" s="420"/>
      <c r="AH12" s="420"/>
    </row>
    <row r="13" spans="1:34" ht="13.5" customHeight="1" thickBot="1">
      <c r="A13" s="2"/>
      <c r="B13" s="2"/>
      <c r="C13" s="156" t="s">
        <v>28</v>
      </c>
      <c r="D13" s="226"/>
      <c r="E13" s="2"/>
      <c r="G13" s="428"/>
      <c r="I13" s="2"/>
      <c r="J13" s="166"/>
      <c r="L13" s="442" t="str">
        <f>IF(G15="","",(0.7*(G15)^2)+(0.3*G15))</f>
        <v/>
      </c>
      <c r="M13" s="171"/>
      <c r="O13" s="169" t="str">
        <f>IF(OR(L15="",O11=""),"",L15/(G15*O11*G13*8760))</f>
        <v/>
      </c>
      <c r="P13" s="155" t="s">
        <v>29</v>
      </c>
      <c r="Q13" s="170" t="str">
        <f>IF(Q11="","",VLOOKUP(Q11,T20:AB195,9,FALSE))</f>
        <v/>
      </c>
      <c r="R13" s="2"/>
      <c r="S13" s="2"/>
      <c r="T13" s="171" t="s">
        <v>29</v>
      </c>
      <c r="U13" s="171"/>
      <c r="V13" s="171"/>
      <c r="W13" s="1"/>
      <c r="X13" s="174"/>
      <c r="Y13" s="175" t="str">
        <f>IF(Y12="","",VLOOKUP(Y12,AA19:AB195,2,FALSE))</f>
        <v/>
      </c>
      <c r="Z13" s="401"/>
      <c r="AA13" s="406" t="b">
        <f>IF(AND($O$15&gt;=0,$O$15&lt;17),15,(IF(AND($O$15&gt;=18,$O$15&lt;34),30,(IF(AND($O$15&gt;=35,$O$15&lt;52),45,(IF(AND($O$15&gt;=53,$O$15&lt;87),75,(IF(AND($O$15&gt;=88,$O$15&lt;130),112.5,(IF(AND($O$15&gt;=131,$O$15&lt;175),150)))))))))))</f>
        <v>0</v>
      </c>
      <c r="AB13" s="407" t="b">
        <f>IF(AND($O$15&gt;=0,$O$15&lt;18),15,(IF(AND($O$15&gt;=19,$O$15&lt;36),30,(IF(AND($O$15&gt;=37,$O$15&lt;54),45,(IF(AND($O$15&gt;=55,$O$15&lt;90),75,(IF(AND($O$15&gt;=91,$O$15&lt;135),112.5,(IF(AND($O$15&gt;=136,$O$15&lt;180),150)))))))))))</f>
        <v>0</v>
      </c>
      <c r="AE13" s="420"/>
      <c r="AF13" s="420"/>
      <c r="AG13" s="420"/>
      <c r="AH13" s="420"/>
    </row>
    <row r="14" spans="1:34" ht="14.25" customHeight="1" thickBot="1">
      <c r="A14" s="2"/>
      <c r="B14" s="2"/>
      <c r="C14" s="671" t="s">
        <v>30</v>
      </c>
      <c r="D14" s="671"/>
      <c r="E14" s="671" t="s">
        <v>31</v>
      </c>
      <c r="F14" s="671"/>
      <c r="G14" s="671"/>
      <c r="H14" s="667" t="s">
        <v>32</v>
      </c>
      <c r="I14" s="668"/>
      <c r="J14" s="669"/>
      <c r="K14" s="671" t="s">
        <v>23</v>
      </c>
      <c r="L14" s="672"/>
      <c r="M14" s="171"/>
      <c r="N14" s="694" t="s">
        <v>24</v>
      </c>
      <c r="O14" s="669"/>
      <c r="P14" s="671" t="s">
        <v>34</v>
      </c>
      <c r="Q14" s="672"/>
      <c r="R14" s="2"/>
      <c r="S14" s="2"/>
      <c r="T14" s="664" t="s">
        <v>35</v>
      </c>
      <c r="U14" s="670"/>
      <c r="V14" s="670"/>
      <c r="W14" s="670"/>
      <c r="X14" s="670"/>
      <c r="Y14" s="665"/>
      <c r="Z14" s="401"/>
      <c r="AA14" s="402"/>
      <c r="AB14" s="403"/>
      <c r="AE14" s="420"/>
      <c r="AF14" s="420"/>
      <c r="AG14" s="420"/>
      <c r="AH14" s="420"/>
    </row>
    <row r="15" spans="1:34" ht="13.5" customHeight="1" thickBot="1">
      <c r="A15" s="2"/>
      <c r="B15" s="2"/>
      <c r="C15" s="156" t="s">
        <v>28</v>
      </c>
      <c r="D15" s="226"/>
      <c r="E15" s="2"/>
      <c r="G15" s="226"/>
      <c r="H15" s="157" t="s">
        <v>36</v>
      </c>
      <c r="I15" s="2"/>
      <c r="J15" s="165"/>
      <c r="L15" s="168" t="str">
        <f>IF(Y20="","",SUM(Y20:Y125))</f>
        <v/>
      </c>
      <c r="M15" s="171"/>
      <c r="O15" s="443" t="str">
        <f>IF(O11="","",SUM(AE19:AF144))</f>
        <v/>
      </c>
      <c r="P15" s="430" t="s">
        <v>37</v>
      </c>
      <c r="Q15" s="330" t="str">
        <f>IF(O15="","",IF(O15&lt;=75,75,IF(AND(O15&gt;75,O15&lt;=112.5),112.5,IF(O15&gt;112.5,"Dividir Área BT"))))</f>
        <v/>
      </c>
      <c r="R15" s="2"/>
      <c r="S15" s="2"/>
      <c r="T15" s="429" t="s">
        <v>38</v>
      </c>
      <c r="U15" s="171"/>
      <c r="V15" s="171"/>
      <c r="W15" s="1"/>
      <c r="X15" s="176"/>
      <c r="Y15" s="177" t="str">
        <f>IF(AND(N20="",N33=""),"",MAX(AC20:AC44))</f>
        <v/>
      </c>
      <c r="Z15" s="401"/>
      <c r="AA15" s="402"/>
      <c r="AB15" s="403"/>
      <c r="AC15" s="393">
        <f>34/(1.73*0.22)</f>
        <v>89.332632685233847</v>
      </c>
      <c r="AE15" s="420"/>
      <c r="AF15" s="420"/>
      <c r="AG15" s="420"/>
      <c r="AH15" s="420"/>
    </row>
    <row r="16" spans="1:34" ht="8.25" customHeight="1" thickBot="1">
      <c r="A16" s="2"/>
      <c r="B16" s="2"/>
      <c r="C16" s="2"/>
      <c r="D16" s="2"/>
      <c r="E16" s="2"/>
      <c r="F16" s="2"/>
      <c r="G16" s="2"/>
      <c r="H16" s="2"/>
      <c r="I16" s="2"/>
      <c r="J16" s="2"/>
      <c r="K16" s="158"/>
      <c r="M16" s="171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401"/>
      <c r="AA16" s="402"/>
      <c r="AB16" s="403"/>
      <c r="AE16" s="420"/>
      <c r="AF16" s="420"/>
      <c r="AG16" s="420"/>
      <c r="AH16" s="420"/>
    </row>
    <row r="17" spans="1:34" ht="20.25" customHeight="1" thickBot="1">
      <c r="A17" s="2"/>
      <c r="B17" s="2"/>
      <c r="C17" s="664" t="s">
        <v>39</v>
      </c>
      <c r="D17" s="665"/>
      <c r="E17" s="692" t="s">
        <v>40</v>
      </c>
      <c r="F17" s="159"/>
      <c r="G17" s="647" t="s">
        <v>110</v>
      </c>
      <c r="H17" s="688" t="s">
        <v>42</v>
      </c>
      <c r="J17" s="647" t="s">
        <v>43</v>
      </c>
      <c r="K17" s="647" t="s">
        <v>44</v>
      </c>
      <c r="L17" s="692" t="s">
        <v>111</v>
      </c>
      <c r="M17" s="352"/>
      <c r="N17" s="647" t="s">
        <v>112</v>
      </c>
      <c r="O17" s="647" t="s">
        <v>113</v>
      </c>
      <c r="P17" s="647" t="s">
        <v>48</v>
      </c>
      <c r="Q17" s="647" t="s">
        <v>49</v>
      </c>
      <c r="R17" s="628" t="s">
        <v>114</v>
      </c>
      <c r="S17" s="628" t="s">
        <v>115</v>
      </c>
      <c r="T17" s="692" t="s">
        <v>116</v>
      </c>
      <c r="U17" s="626" t="s">
        <v>117</v>
      </c>
      <c r="V17" s="356" t="s">
        <v>52</v>
      </c>
      <c r="W17" s="690" t="s">
        <v>118</v>
      </c>
      <c r="X17" s="690" t="s">
        <v>119</v>
      </c>
      <c r="Y17" s="686" t="s">
        <v>120</v>
      </c>
      <c r="Z17" s="408"/>
      <c r="AA17" s="409"/>
      <c r="AB17" s="410"/>
      <c r="AD17" s="398"/>
      <c r="AE17" s="422"/>
      <c r="AF17" s="422"/>
      <c r="AG17" s="423"/>
      <c r="AH17" s="420"/>
    </row>
    <row r="18" spans="1:34" ht="18" customHeight="1" thickBot="1">
      <c r="A18" s="2"/>
      <c r="B18" s="2"/>
      <c r="C18" s="587" t="s">
        <v>54</v>
      </c>
      <c r="D18" s="587" t="s">
        <v>55</v>
      </c>
      <c r="E18" s="693"/>
      <c r="F18" s="161"/>
      <c r="G18" s="648"/>
      <c r="H18" s="689"/>
      <c r="J18" s="648"/>
      <c r="K18" s="648"/>
      <c r="L18" s="693"/>
      <c r="M18" s="352"/>
      <c r="N18" s="648"/>
      <c r="O18" s="648"/>
      <c r="P18" s="648"/>
      <c r="Q18" s="648"/>
      <c r="R18" s="629"/>
      <c r="S18" s="629"/>
      <c r="T18" s="693"/>
      <c r="U18" s="627"/>
      <c r="V18" s="356" t="s">
        <v>121</v>
      </c>
      <c r="W18" s="691"/>
      <c r="X18" s="691"/>
      <c r="Y18" s="687"/>
      <c r="AA18" s="395" t="s">
        <v>25</v>
      </c>
      <c r="AB18" s="395" t="s">
        <v>29</v>
      </c>
      <c r="AC18" s="395" t="s">
        <v>56</v>
      </c>
      <c r="AD18" s="401"/>
      <c r="AE18" s="685" t="s">
        <v>57</v>
      </c>
      <c r="AF18" s="685"/>
      <c r="AG18" s="424"/>
      <c r="AH18" s="420"/>
    </row>
    <row r="19" spans="1:34" ht="15" customHeight="1" thickTop="1">
      <c r="A19" s="649" t="s">
        <v>61</v>
      </c>
      <c r="B19" s="659" t="s">
        <v>62</v>
      </c>
      <c r="C19" s="662" t="s">
        <v>63</v>
      </c>
      <c r="D19" s="663"/>
      <c r="E19" s="182" t="s">
        <v>64</v>
      </c>
      <c r="F19" s="182" t="s">
        <v>64</v>
      </c>
      <c r="G19" s="182" t="s">
        <v>64</v>
      </c>
      <c r="H19" s="182" t="s">
        <v>64</v>
      </c>
      <c r="I19" s="182" t="s">
        <v>64</v>
      </c>
      <c r="J19" s="182" t="s">
        <v>64</v>
      </c>
      <c r="K19" s="182" t="s">
        <v>64</v>
      </c>
      <c r="L19" s="184" t="s">
        <v>64</v>
      </c>
      <c r="M19" s="185"/>
      <c r="N19" s="182" t="s">
        <v>64</v>
      </c>
      <c r="O19" s="184" t="s">
        <v>67</v>
      </c>
      <c r="P19" s="184" t="s">
        <v>67</v>
      </c>
      <c r="Q19" s="184" t="s">
        <v>67</v>
      </c>
      <c r="R19" s="186" t="s">
        <v>122</v>
      </c>
      <c r="S19" s="186" t="s">
        <v>123</v>
      </c>
      <c r="T19" s="184" t="s">
        <v>67</v>
      </c>
      <c r="U19" s="186" t="s">
        <v>67</v>
      </c>
      <c r="V19" s="186"/>
      <c r="W19" s="186" t="s">
        <v>67</v>
      </c>
      <c r="X19" s="186" t="s">
        <v>64</v>
      </c>
      <c r="Y19" s="187" t="s">
        <v>65</v>
      </c>
      <c r="AA19" s="396"/>
      <c r="AB19" s="395"/>
      <c r="AC19" s="395"/>
      <c r="AD19" s="401"/>
      <c r="AE19" s="425" t="str">
        <f t="shared" si="0" ref="AE19:AF44">F19</f>
        <v>-------------</v>
      </c>
      <c r="AF19" s="426" t="str">
        <f t="shared" si="0"/>
        <v>-------------</v>
      </c>
      <c r="AG19" s="424" t="e">
        <f>SQRT(3)*(Q20+Q33)*0.22</f>
        <v>#VALUE!</v>
      </c>
      <c r="AH19" s="420"/>
    </row>
    <row r="20" spans="1:34" ht="15" customHeight="1">
      <c r="A20" s="650"/>
      <c r="B20" s="660"/>
      <c r="C20" s="359" t="s">
        <v>71</v>
      </c>
      <c r="D20" s="563"/>
      <c r="E20" s="432"/>
      <c r="F20" s="189" t="str">
        <f t="shared" si="1" ref="F20:F44">IF(OR(E20="",$G$11=""),"",E20*$G$11*($J$11/100+1)^($J$15-1))</f>
        <v/>
      </c>
      <c r="G20" s="380"/>
      <c r="H20" s="190" t="str">
        <f>IF(AND(E20="",G20=""),"",SUM(F20:$G$31))</f>
        <v/>
      </c>
      <c r="I20" s="191"/>
      <c r="J20" s="188"/>
      <c r="K20" s="188"/>
      <c r="L20" s="197" t="str">
        <f>IF(J20="Duplex",VLOOKUP(M20,'Características dos Cabos MX CH'!$C$12:$I$14,7),(IF(J20="Triplex",VLOOKUP(M20,'Características dos Cabos MX CH'!$C$15:$J$20,8),(IF(J20="Quadruplex",VLOOKUP(M20,'Características dos Cabos MX CH'!$C$21:$K$27,9),(IF(J20="13",VLOOKUP(M20,'Características dos Cabos MX CH'!$C$15:$L$20,10),"")))))))</f>
        <v/>
      </c>
      <c r="M20" s="350" t="str">
        <f>IF(K20=10,"a",IF(K20=16,"b",IF(K20=25,"c",IF(K20=35,"d",IF(K20=50,"e",(IF(K20=70,"f",(IF(K20=120,"g","")))))))))</f>
        <v/>
      </c>
      <c r="N20" s="375"/>
      <c r="O20" s="192" t="str">
        <f t="shared" si="2" ref="O20:O44">IF(OR(N20="",L20="",H20=""),"",N20*L20*H20)</f>
        <v/>
      </c>
      <c r="P20" s="192" t="str">
        <f>IF(O20="","",SUM($O$20:O20))</f>
        <v/>
      </c>
      <c r="Q20" s="192" t="str">
        <f>IF(H20="","",IF(J20="Quadruplex",H20*1000/($D$13*SQRT(3)),IF(J20="Triplex",H20*1000*SQRT(3)/($D$13*2),IF(J20="Duplex",H20*1000*SQRT(3)/$D$13,IF(J20="13",H20*1000/$D$15,IF(J20="12",H20*1000*2/$D$15,"erro"))))))</f>
        <v/>
      </c>
      <c r="R20" s="193" t="str">
        <f>IF(J20="Duplex",VLOOKUP(M20,'Características dos Cabos MX CH'!$C$12:$I$14,5),(IF(J20="Triplex",VLOOKUP(M20,'Características dos Cabos MX CH'!$C$15:$J$20,5),(IF(J20="Quadruplex",VLOOKUP(M20,'Características dos Cabos MX CH'!$C$21:$K$27,5),(IF(J20="13",VLOOKUP(M20,'Características dos Cabos MX CH'!$C$15:$L$20,5),"")))))))</f>
        <v/>
      </c>
      <c r="S20" s="193" t="str">
        <f>IF(J20="Duplex",VLOOKUP(M20,'Características dos Cabos MX CH'!$C$12:$I$14,6),(IF(J20="Triplex",VLOOKUP(M20,'Características dos Cabos MX CH'!$C$15:$J$20,6),(IF(J20="Quadruplex",VLOOKUP(M20,'Características dos Cabos MX CH'!$C$21:$K$27,6),(IF(J20="13",VLOOKUP(M20,'Características dos Cabos MX CH'!$C$15:$L$20,6),"")))))))</f>
        <v/>
      </c>
      <c r="T20" s="194" t="str">
        <f>IF(OR(Q20="",R20="",S20=""),"",IF($L$11="PE",Q20/R20,IF($L$11="XLPE",Q20/S20,"")))</f>
        <v/>
      </c>
      <c r="U20" s="447" t="str">
        <f>IF(J20="Duplex",VLOOKUP(M20,'Características dos Cabos MX CH'!$C$12:$I$14,2),(IF(J20="Triplex",VLOOKUP(M20,'Características dos Cabos MX CH'!$C$15:$J$20,2),(IF(J20="Quadruplex",VLOOKUP(M20,'Características dos Cabos MX CH'!$C$21:$K$27,2),(IF(J20="13",VLOOKUP(M20,'Características dos Cabos MX CH'!$C$15:$L$20,2),"")))))))</f>
        <v/>
      </c>
      <c r="V20" s="193" t="str">
        <f>IF(J20="Duplex",VLOOKUP(M20,'Características dos Cabos MX CH'!$C$12:$I$14,3),(IF(J20="Triplex",VLOOKUP(M20,'Características dos Cabos MX CH'!$C$15:$J$20,3),(IF(J20="Quadruplex",VLOOKUP(M20,'Características dos Cabos MX CH'!$C$21:$K$27,3),(IF(J20="13",VLOOKUP(M20,'Características dos Cabos MX CH'!$C$15:$L$20,3),"")))))))</f>
        <v/>
      </c>
      <c r="W20" s="195" t="str">
        <f>IF(OR(O20="",$G$15="",H20="",N20=""),"",IF(J20="Quadruplex",3*$L$13*U20*O20/1000*R20^2*8.76,IF(J20="Triplex",2*$L$13*U20*O20/1000*R20^2*8.76,IF(J20="Duplex",$L$13*U20*O20/1000*R20^2*8.76))))</f>
        <v/>
      </c>
      <c r="X20" s="195" t="str">
        <f>IF(OR(O20="",$G$15="",H20="",N20=""),"",IF(J20="Quadruplex",3*$L$13*V20*O20/1000*R20^2*8.76,IF(J20="triplex",2*$L$13*V20*O20/1000*R20^2*8.76,IF(J20="Duplex",$L$13*V20*O20/1000*R20^2*8.76))))</f>
        <v/>
      </c>
      <c r="Y20" s="196" t="str">
        <f>IF(OR(V20="",W20="",X20=""),"",IF($L$11="PE",W20,IF($L$11="XLPE",X20,"")))</f>
        <v/>
      </c>
      <c r="AA20" s="396">
        <f t="shared" si="3" ref="AA20:AA44">D20</f>
        <v>0</v>
      </c>
      <c r="AB20" s="396">
        <f t="shared" si="4" ref="AB20:AB86">K20</f>
        <v>0</v>
      </c>
      <c r="AC20" s="395">
        <f>SUM($N$20:N20)</f>
        <v>0</v>
      </c>
      <c r="AD20" s="401"/>
      <c r="AE20" s="357" t="str">
        <f>IF(OR(E20="",$G$11=""),"",IF($G$11&gt;0,E20*$G$11*($J$11/100+1)^($J$15-1),E20*$E$11*($J$11/100+1)^($J$15-1)))</f>
        <v/>
      </c>
      <c r="AF20" s="426">
        <f t="shared" si="0"/>
        <v>0</v>
      </c>
      <c r="AG20" s="424"/>
      <c r="AH20" s="420"/>
    </row>
    <row r="21" spans="1:34" ht="15" customHeight="1">
      <c r="A21" s="650"/>
      <c r="B21" s="660"/>
      <c r="C21" s="562"/>
      <c r="D21" s="563"/>
      <c r="E21" s="387"/>
      <c r="F21" s="189" t="str">
        <f t="shared" si="1"/>
        <v/>
      </c>
      <c r="G21" s="380"/>
      <c r="H21" s="190" t="str">
        <f>IF(AND(E21="",G21=""),"",SUM(F21:$G$31))</f>
        <v/>
      </c>
      <c r="I21" s="191"/>
      <c r="J21" s="188"/>
      <c r="K21" s="188"/>
      <c r="L21" s="197" t="str">
        <f>IF(J21="Duplex",VLOOKUP(M21,'Características dos Cabos MX CH'!$C$12:$I$14,7),(IF(J21="Triplex",VLOOKUP(M21,'Características dos Cabos MX CH'!$C$15:$J$20,8),(IF(J21="Quadruplex",VLOOKUP(M21,'Características dos Cabos MX CH'!$C$21:$K$27,9),(IF(J21="13",VLOOKUP(M21,'Características dos Cabos MX CH'!$C$15:$L$20,10),"")))))))</f>
        <v/>
      </c>
      <c r="M21" s="350" t="str">
        <f t="shared" si="5" ref="M21:M86">IF(K21=10,"a",IF(K21=16,"b",IF(K21=25,"c",IF(K21=35,"d",IF(K21=50,"e",(IF(K21=70,"f",(IF(K21=120,"g","")))))))))</f>
        <v/>
      </c>
      <c r="N21" s="375"/>
      <c r="O21" s="192" t="str">
        <f t="shared" si="2"/>
        <v/>
      </c>
      <c r="P21" s="192" t="str">
        <f>IF(O21="","",SUM($O$20:O21))</f>
        <v/>
      </c>
      <c r="Q21" s="192" t="str">
        <f t="shared" si="6" ref="Q21:Q86">IF(H21="","",IF(J21="Quadruplex",H21*1000/($D$13*SQRT(3)),IF(J21="Triplex",H21*1000*SQRT(3)/($D$13*2),IF(J21="Duplex",H21*1000*SQRT(3)/$D$13,IF(J21="13",H21*1000/$D$15,IF(J21="12",H21*1000*2/$D$15,"erro"))))))</f>
        <v/>
      </c>
      <c r="R21" s="193" t="str">
        <f>IF(J21="Duplex",VLOOKUP(M21,'Características dos Cabos MX CH'!$C$12:$I$14,5),(IF(J21="Triplex",VLOOKUP(M21,'Características dos Cabos MX CH'!$C$15:$J$20,5),(IF(J21="Quadruplex",VLOOKUP(M21,'Características dos Cabos MX CH'!$C$21:$K$27,5),(IF(J21="13",VLOOKUP(M21,'Características dos Cabos MX CH'!$C$15:$L$20,5),"")))))))</f>
        <v/>
      </c>
      <c r="S21" s="193" t="str">
        <f>IF(J21="Duplex",VLOOKUP(M21,'Características dos Cabos MX CH'!$C$12:$I$14,6),(IF(J21="Triplex",VLOOKUP(M21,'Características dos Cabos MX CH'!$C$15:$J$20,6),(IF(J21="Quadruplex",VLOOKUP(M21,'Características dos Cabos MX CH'!$C$21:$K$27,6),(IF(J21="13",VLOOKUP(M21,'Características dos Cabos MX CH'!$C$15:$L$20,6),"")))))))</f>
        <v/>
      </c>
      <c r="T21" s="194" t="str">
        <f t="shared" si="7" ref="T21:T44">IF(OR(Q21="",R21="",S21=""),"",IF($L$11="PE",Q21/R21,IF($L$11="XLPE",Q21/S21,"")))</f>
        <v/>
      </c>
      <c r="U21" s="447" t="str">
        <f>IF(J21="Duplex",VLOOKUP(M21,'Características dos Cabos MX CH'!$C$12:$I$14,2),(IF(J21="Triplex",VLOOKUP(M21,'Características dos Cabos MX CH'!$C$15:$J$20,2),(IF(J21="Quadruplex",VLOOKUP(M21,'Características dos Cabos MX CH'!$C$21:$K$27,2),(IF(J21="13",VLOOKUP(M21,'Características dos Cabos MX CH'!$C$15:$L$20,2),"")))))))</f>
        <v/>
      </c>
      <c r="V21" s="193" t="str">
        <f>IF(J21="Duplex",VLOOKUP(M21,'Características dos Cabos MX CH'!$C$12:$I$14,3),(IF(J21="Triplex",VLOOKUP(M21,'Características dos Cabos MX CH'!$C$15:$J$20,3),(IF(J21="Quadruplex",VLOOKUP(M21,'Características dos Cabos MX CH'!$C$21:$K$27,3),(IF(J21="13",VLOOKUP(M21,'Características dos Cabos MX CH'!$C$15:$L$20,3),"")))))))</f>
        <v/>
      </c>
      <c r="W21" s="195" t="str">
        <f t="shared" si="8" ref="W21:W44">IF(OR(O21="",$G$15="",H21="",N21=""),"",IF(J21="Quadruplex",3*$L$13*U21*O21/1000*R21^2*8.76,IF(J21="Triplex",2*$L$13*U21*O21/1000*R21^2*8.76,IF(J21="Duplex",$L$13*U21*O21/1000*R21^2*8.76))))</f>
        <v/>
      </c>
      <c r="X21" s="195" t="str">
        <f t="shared" si="9" ref="X21:X44">IF(OR(O21="",$G$15="",H21="",N21=""),"",IF(J21="Quadruplex",3*$L$13*V21*O21/1000*R21^2*8.76,IF(J21="triplex",2*$L$13*V21*O21/1000*R21^2*8.76,IF(J21="Duplex",$L$13*V21*O21/1000*R21^2*8.76))))</f>
        <v/>
      </c>
      <c r="Y21" s="196" t="str">
        <f t="shared" si="10" ref="Y21:Y44">IF(OR(V21="",W21="",X21=""),"",IF($L$11="PE",W21,IF($L$11="XLPE",X21,"")))</f>
        <v/>
      </c>
      <c r="AA21" s="396">
        <f t="shared" si="3"/>
        <v>0</v>
      </c>
      <c r="AB21" s="396">
        <f t="shared" si="4"/>
        <v>0</v>
      </c>
      <c r="AC21" s="395">
        <f>SUM($N$20:N21)</f>
        <v>0</v>
      </c>
      <c r="AD21" s="401"/>
      <c r="AE21" s="357" t="str">
        <f t="shared" si="11" ref="AE21:AE84">IF(OR(E21="",$G$11=""),"",IF($G$11&gt;0,E21*$G$11*($J$11/100+1)^($J$15-1),E21*$E$11*($J$11/100+1)^($J$15-1)))</f>
        <v/>
      </c>
      <c r="AF21" s="426">
        <f t="shared" si="0"/>
        <v>0</v>
      </c>
      <c r="AG21" s="424"/>
      <c r="AH21" s="420"/>
    </row>
    <row r="22" spans="1:34" ht="15" customHeight="1">
      <c r="A22" s="650"/>
      <c r="B22" s="660"/>
      <c r="C22" s="562"/>
      <c r="D22" s="563"/>
      <c r="E22" s="387"/>
      <c r="F22" s="189" t="str">
        <f t="shared" si="1"/>
        <v/>
      </c>
      <c r="G22" s="380"/>
      <c r="H22" s="190" t="str">
        <f>IF(AND(E22="",G22=""),"",SUM(F22:$G$31))</f>
        <v/>
      </c>
      <c r="I22" s="191"/>
      <c r="J22" s="188"/>
      <c r="K22" s="188"/>
      <c r="L22" s="197" t="str">
        <f>IF(J22="Duplex",VLOOKUP(M22,'Características dos Cabos MX CH'!$C$12:$I$14,7),(IF(J22="Triplex",VLOOKUP(M22,'Características dos Cabos MX CH'!$C$15:$J$20,8),(IF(J22="Quadruplex",VLOOKUP(M22,'Características dos Cabos MX CH'!$C$21:$K$27,9),(IF(J22="13",VLOOKUP(M22,'Características dos Cabos MX CH'!$C$15:$L$20,10),"")))))))</f>
        <v/>
      </c>
      <c r="M22" s="350" t="str">
        <f t="shared" si="5"/>
        <v/>
      </c>
      <c r="N22" s="375"/>
      <c r="O22" s="192" t="str">
        <f t="shared" si="2"/>
        <v/>
      </c>
      <c r="P22" s="192" t="str">
        <f>IF(O22="","",SUM($O$20:O22))</f>
        <v/>
      </c>
      <c r="Q22" s="192" t="str">
        <f t="shared" si="6"/>
        <v/>
      </c>
      <c r="R22" s="193" t="str">
        <f>IF(J22="Duplex",VLOOKUP(M22,'Características dos Cabos MX CH'!$C$12:$I$14,5),(IF(J22="Triplex",VLOOKUP(M22,'Características dos Cabos MX CH'!$C$15:$J$20,5),(IF(J22="Quadruplex",VLOOKUP(M22,'Características dos Cabos MX CH'!$C$21:$K$27,5),(IF(J22="13",VLOOKUP(M22,'Características dos Cabos MX CH'!$C$15:$L$20,5),"")))))))</f>
        <v/>
      </c>
      <c r="S22" s="193" t="str">
        <f>IF(J22="Duplex",VLOOKUP(M22,'Características dos Cabos MX CH'!$C$12:$I$14,6),(IF(J22="Triplex",VLOOKUP(M22,'Características dos Cabos MX CH'!$C$15:$J$20,6),(IF(J22="Quadruplex",VLOOKUP(M22,'Características dos Cabos MX CH'!$C$21:$K$27,6),(IF(J22="13",VLOOKUP(M22,'Características dos Cabos MX CH'!$C$15:$L$20,6),"")))))))</f>
        <v/>
      </c>
      <c r="T22" s="194" t="str">
        <f t="shared" si="7"/>
        <v/>
      </c>
      <c r="U22" s="447" t="str">
        <f>IF(J22="Duplex",VLOOKUP(M22,'Características dos Cabos MX CH'!$C$12:$I$14,2),(IF(J22="Triplex",VLOOKUP(M22,'Características dos Cabos MX CH'!$C$15:$J$20,2),(IF(J22="Quadruplex",VLOOKUP(M22,'Características dos Cabos MX CH'!$C$21:$K$27,2),(IF(J22="13",VLOOKUP(M22,'Características dos Cabos MX CH'!$C$15:$L$20,2),"")))))))</f>
        <v/>
      </c>
      <c r="V22" s="193" t="str">
        <f>IF(J22="Duplex",VLOOKUP(M22,'Características dos Cabos MX CH'!$C$12:$I$14,3),(IF(J22="Triplex",VLOOKUP(M22,'Características dos Cabos MX CH'!$C$15:$J$20,3),(IF(J22="Quadruplex",VLOOKUP(M22,'Características dos Cabos MX CH'!$C$21:$K$27,3),(IF(J22="13",VLOOKUP(M22,'Características dos Cabos MX CH'!$C$15:$L$20,3),"")))))))</f>
        <v/>
      </c>
      <c r="W22" s="195" t="str">
        <f t="shared" si="8"/>
        <v/>
      </c>
      <c r="X22" s="195" t="str">
        <f t="shared" si="9"/>
        <v/>
      </c>
      <c r="Y22" s="196" t="str">
        <f t="shared" si="10"/>
        <v/>
      </c>
      <c r="AA22" s="396">
        <f t="shared" si="3"/>
        <v>0</v>
      </c>
      <c r="AB22" s="396">
        <f t="shared" si="4"/>
        <v>0</v>
      </c>
      <c r="AC22" s="395">
        <f>SUM($N$20:N22)</f>
        <v>0</v>
      </c>
      <c r="AD22" s="401"/>
      <c r="AE22" s="357" t="str">
        <f t="shared" si="11"/>
        <v/>
      </c>
      <c r="AF22" s="426">
        <f t="shared" si="0"/>
        <v>0</v>
      </c>
      <c r="AG22" s="424"/>
      <c r="AH22" s="420"/>
    </row>
    <row r="23" spans="1:34" ht="15" customHeight="1">
      <c r="A23" s="650"/>
      <c r="B23" s="660"/>
      <c r="C23" s="562"/>
      <c r="D23" s="563"/>
      <c r="E23" s="387"/>
      <c r="F23" s="189" t="str">
        <f t="shared" si="1"/>
        <v/>
      </c>
      <c r="G23" s="380"/>
      <c r="H23" s="190" t="str">
        <f>IF(AND(E23="",G23=""),"",SUM(F23:$G$31))</f>
        <v/>
      </c>
      <c r="I23" s="191"/>
      <c r="J23" s="188"/>
      <c r="K23" s="188"/>
      <c r="L23" s="197" t="str">
        <f>IF(J23="Duplex",VLOOKUP(M23,'Características dos Cabos MX CH'!$C$12:$I$14,7),(IF(J23="Triplex",VLOOKUP(M23,'Características dos Cabos MX CH'!$C$15:$J$20,8),(IF(J23="Quadruplex",VLOOKUP(M23,'Características dos Cabos MX CH'!$C$21:$K$27,9),(IF(J23="13",VLOOKUP(M23,'Características dos Cabos MX CH'!$C$15:$L$20,10),"")))))))</f>
        <v/>
      </c>
      <c r="M23" s="350" t="str">
        <f t="shared" si="5"/>
        <v/>
      </c>
      <c r="N23" s="375"/>
      <c r="O23" s="192" t="str">
        <f t="shared" si="2"/>
        <v/>
      </c>
      <c r="P23" s="192" t="str">
        <f>IF(O23="","",SUM($O$20:O23))</f>
        <v/>
      </c>
      <c r="Q23" s="192" t="str">
        <f t="shared" si="6"/>
        <v/>
      </c>
      <c r="R23" s="193" t="str">
        <f>IF(J23="Duplex",VLOOKUP(M23,'Características dos Cabos MX CH'!$C$12:$I$14,5),(IF(J23="Triplex",VLOOKUP(M23,'Características dos Cabos MX CH'!$C$15:$J$20,5),(IF(J23="Quadruplex",VLOOKUP(M23,'Características dos Cabos MX CH'!$C$21:$K$27,5),(IF(J23="13",VLOOKUP(M23,'Características dos Cabos MX CH'!$C$15:$L$20,5),"")))))))</f>
        <v/>
      </c>
      <c r="S23" s="193" t="str">
        <f>IF(J23="Duplex",VLOOKUP(M23,'Características dos Cabos MX CH'!$C$12:$I$14,6),(IF(J23="Triplex",VLOOKUP(M23,'Características dos Cabos MX CH'!$C$15:$J$20,6),(IF(J23="Quadruplex",VLOOKUP(M23,'Características dos Cabos MX CH'!$C$21:$K$27,6),(IF(J23="13",VLOOKUP(M23,'Características dos Cabos MX CH'!$C$15:$L$20,6),"")))))))</f>
        <v/>
      </c>
      <c r="T23" s="194" t="str">
        <f t="shared" si="7"/>
        <v/>
      </c>
      <c r="U23" s="447" t="str">
        <f>IF(J23="Duplex",VLOOKUP(M23,'Características dos Cabos MX CH'!$C$12:$I$14,2),(IF(J23="Triplex",VLOOKUP(M23,'Características dos Cabos MX CH'!$C$15:$J$20,2),(IF(J23="Quadruplex",VLOOKUP(M23,'Características dos Cabos MX CH'!$C$21:$K$27,2),(IF(J23="13",VLOOKUP(M23,'Características dos Cabos MX CH'!$C$15:$L$20,2),"")))))))</f>
        <v/>
      </c>
      <c r="V23" s="193" t="str">
        <f>IF(J23="Duplex",VLOOKUP(M23,'Características dos Cabos MX CH'!$C$12:$I$14,3),(IF(J23="Triplex",VLOOKUP(M23,'Características dos Cabos MX CH'!$C$15:$J$20,3),(IF(J23="Quadruplex",VLOOKUP(M23,'Características dos Cabos MX CH'!$C$21:$K$27,3),(IF(J23="13",VLOOKUP(M23,'Características dos Cabos MX CH'!$C$15:$L$20,3),"")))))))</f>
        <v/>
      </c>
      <c r="W23" s="195" t="str">
        <f t="shared" si="8"/>
        <v/>
      </c>
      <c r="X23" s="195" t="str">
        <f t="shared" si="9"/>
        <v/>
      </c>
      <c r="Y23" s="196" t="str">
        <f t="shared" si="10"/>
        <v/>
      </c>
      <c r="AA23" s="396">
        <f t="shared" si="3"/>
        <v>0</v>
      </c>
      <c r="AB23" s="396">
        <f t="shared" si="4"/>
        <v>0</v>
      </c>
      <c r="AC23" s="395">
        <f>SUM($N$20:N23)</f>
        <v>0</v>
      </c>
      <c r="AD23" s="401"/>
      <c r="AE23" s="357" t="str">
        <f t="shared" si="11"/>
        <v/>
      </c>
      <c r="AF23" s="426">
        <f t="shared" si="0"/>
        <v>0</v>
      </c>
      <c r="AG23" s="424"/>
      <c r="AH23" s="420"/>
    </row>
    <row r="24" spans="1:34" ht="15" customHeight="1">
      <c r="A24" s="650"/>
      <c r="B24" s="660"/>
      <c r="C24" s="562"/>
      <c r="D24" s="563"/>
      <c r="E24" s="387"/>
      <c r="F24" s="189" t="str">
        <f t="shared" si="1"/>
        <v/>
      </c>
      <c r="G24" s="380"/>
      <c r="H24" s="190" t="str">
        <f>IF(AND(E24="",G24=""),"",SUM(F24:$G$31))</f>
        <v/>
      </c>
      <c r="I24" s="191"/>
      <c r="J24" s="188"/>
      <c r="K24" s="188"/>
      <c r="L24" s="197" t="str">
        <f>IF(J24="Duplex",VLOOKUP(M24,'Características dos Cabos MX CH'!$C$12:$I$14,7),(IF(J24="Triplex",VLOOKUP(M24,'Características dos Cabos MX CH'!$C$15:$J$20,8),(IF(J24="Quadruplex",VLOOKUP(M24,'Características dos Cabos MX CH'!$C$21:$K$27,9),(IF(J24="13",VLOOKUP(M24,'Características dos Cabos MX CH'!$C$15:$L$20,10),"")))))))</f>
        <v/>
      </c>
      <c r="M24" s="350" t="str">
        <f t="shared" si="5"/>
        <v/>
      </c>
      <c r="N24" s="375"/>
      <c r="O24" s="192" t="str">
        <f t="shared" si="2"/>
        <v/>
      </c>
      <c r="P24" s="192" t="str">
        <f>IF(O24="","",SUM($O$20:O24))</f>
        <v/>
      </c>
      <c r="Q24" s="192" t="str">
        <f t="shared" si="6"/>
        <v/>
      </c>
      <c r="R24" s="193" t="str">
        <f>IF(J24="Duplex",VLOOKUP(M24,'Características dos Cabos MX CH'!$C$12:$I$14,5),(IF(J24="Triplex",VLOOKUP(M24,'Características dos Cabos MX CH'!$C$15:$J$20,5),(IF(J24="Quadruplex",VLOOKUP(M24,'Características dos Cabos MX CH'!$C$21:$K$27,5),(IF(J24="13",VLOOKUP(M24,'Características dos Cabos MX CH'!$C$15:$L$20,5),"")))))))</f>
        <v/>
      </c>
      <c r="S24" s="193" t="str">
        <f>IF(J24="Duplex",VLOOKUP(M24,'Características dos Cabos MX CH'!$C$12:$I$14,6),(IF(J24="Triplex",VLOOKUP(M24,'Características dos Cabos MX CH'!$C$15:$J$20,6),(IF(J24="Quadruplex",VLOOKUP(M24,'Características dos Cabos MX CH'!$C$21:$K$27,6),(IF(J24="13",VLOOKUP(M24,'Características dos Cabos MX CH'!$C$15:$L$20,6),"")))))))</f>
        <v/>
      </c>
      <c r="T24" s="194" t="str">
        <f t="shared" si="7"/>
        <v/>
      </c>
      <c r="U24" s="447" t="str">
        <f>IF(J24="Duplex",VLOOKUP(M24,'Características dos Cabos MX CH'!$C$12:$I$14,2),(IF(J24="Triplex",VLOOKUP(M24,'Características dos Cabos MX CH'!$C$15:$J$20,2),(IF(J24="Quadruplex",VLOOKUP(M24,'Características dos Cabos MX CH'!$C$21:$K$27,2),(IF(J24="13",VLOOKUP(M24,'Características dos Cabos MX CH'!$C$15:$L$20,2),"")))))))</f>
        <v/>
      </c>
      <c r="V24" s="193" t="str">
        <f>IF(J24="Duplex",VLOOKUP(M24,'Características dos Cabos MX CH'!$C$12:$I$14,3),(IF(J24="Triplex",VLOOKUP(M24,'Características dos Cabos MX CH'!$C$15:$J$20,3),(IF(J24="Quadruplex",VLOOKUP(M24,'Características dos Cabos MX CH'!$C$21:$K$27,3),(IF(J24="13",VLOOKUP(M24,'Características dos Cabos MX CH'!$C$15:$L$20,3),"")))))))</f>
        <v/>
      </c>
      <c r="W24" s="195" t="str">
        <f t="shared" si="8"/>
        <v/>
      </c>
      <c r="X24" s="195" t="str">
        <f t="shared" si="9"/>
        <v/>
      </c>
      <c r="Y24" s="196" t="str">
        <f t="shared" si="10"/>
        <v/>
      </c>
      <c r="AA24" s="396">
        <f t="shared" si="3"/>
        <v>0</v>
      </c>
      <c r="AB24" s="396">
        <f t="shared" si="4"/>
        <v>0</v>
      </c>
      <c r="AC24" s="395">
        <f>SUM($N$20:N24)</f>
        <v>0</v>
      </c>
      <c r="AD24" s="401"/>
      <c r="AE24" s="357" t="str">
        <f t="shared" si="11"/>
        <v/>
      </c>
      <c r="AF24" s="426">
        <f t="shared" si="0"/>
        <v>0</v>
      </c>
      <c r="AG24" s="424"/>
      <c r="AH24" s="420"/>
    </row>
    <row r="25" spans="1:34" ht="15" customHeight="1">
      <c r="A25" s="650"/>
      <c r="B25" s="660"/>
      <c r="C25" s="562"/>
      <c r="D25" s="563"/>
      <c r="E25" s="387"/>
      <c r="F25" s="189" t="str">
        <f t="shared" si="1"/>
        <v/>
      </c>
      <c r="G25" s="380"/>
      <c r="H25" s="190" t="str">
        <f>IF(AND(E25="",G25=""),"",SUM(F25:$G$31))</f>
        <v/>
      </c>
      <c r="I25" s="191"/>
      <c r="J25" s="188"/>
      <c r="K25" s="188"/>
      <c r="L25" s="197" t="str">
        <f>IF(J25="Duplex",VLOOKUP(M25,'Características dos Cabos MX CH'!$C$12:$I$14,7),(IF(J25="Triplex",VLOOKUP(M25,'Características dos Cabos MX CH'!$C$15:$J$20,8),(IF(J25="Quadruplex",VLOOKUP(M25,'Características dos Cabos MX CH'!$C$21:$K$27,9),(IF(J25="13",VLOOKUP(M25,'Características dos Cabos MX CH'!$C$15:$L$20,10),"")))))))</f>
        <v/>
      </c>
      <c r="M25" s="350" t="str">
        <f t="shared" si="5"/>
        <v/>
      </c>
      <c r="N25" s="375"/>
      <c r="O25" s="192" t="str">
        <f t="shared" si="2"/>
        <v/>
      </c>
      <c r="P25" s="192" t="str">
        <f>IF(O25="","",SUM($O$20:O25))</f>
        <v/>
      </c>
      <c r="Q25" s="192" t="str">
        <f t="shared" si="6"/>
        <v/>
      </c>
      <c r="R25" s="193" t="str">
        <f>IF(J25="Duplex",VLOOKUP(M25,'Características dos Cabos MX CH'!$C$12:$I$14,5),(IF(J25="Triplex",VLOOKUP(M25,'Características dos Cabos MX CH'!$C$15:$J$20,5),(IF(J25="Quadruplex",VLOOKUP(M25,'Características dos Cabos MX CH'!$C$21:$K$27,5),(IF(J25="13",VLOOKUP(M25,'Características dos Cabos MX CH'!$C$15:$L$20,5),"")))))))</f>
        <v/>
      </c>
      <c r="S25" s="193" t="str">
        <f>IF(J25="Duplex",VLOOKUP(M25,'Características dos Cabos MX CH'!$C$12:$I$14,6),(IF(J25="Triplex",VLOOKUP(M25,'Características dos Cabos MX CH'!$C$15:$J$20,6),(IF(J25="Quadruplex",VLOOKUP(M25,'Características dos Cabos MX CH'!$C$21:$K$27,6),(IF(J25="13",VLOOKUP(M25,'Características dos Cabos MX CH'!$C$15:$L$20,6),"")))))))</f>
        <v/>
      </c>
      <c r="T25" s="194" t="str">
        <f t="shared" si="7"/>
        <v/>
      </c>
      <c r="U25" s="447" t="str">
        <f>IF(J25="Duplex",VLOOKUP(M25,'Características dos Cabos MX CH'!$C$12:$I$14,2),(IF(J25="Triplex",VLOOKUP(M25,'Características dos Cabos MX CH'!$C$15:$J$20,2),(IF(J25="Quadruplex",VLOOKUP(M25,'Características dos Cabos MX CH'!$C$21:$K$27,2),(IF(J25="13",VLOOKUP(M25,'Características dos Cabos MX CH'!$C$15:$L$20,2),"")))))))</f>
        <v/>
      </c>
      <c r="V25" s="193" t="str">
        <f>IF(J25="Duplex",VLOOKUP(M25,'Características dos Cabos MX CH'!$C$12:$I$14,3),(IF(J25="Triplex",VLOOKUP(M25,'Características dos Cabos MX CH'!$C$15:$J$20,3),(IF(J25="Quadruplex",VLOOKUP(M25,'Características dos Cabos MX CH'!$C$21:$K$27,3),(IF(J25="13",VLOOKUP(M25,'Características dos Cabos MX CH'!$C$15:$L$20,3),"")))))))</f>
        <v/>
      </c>
      <c r="W25" s="195" t="str">
        <f t="shared" si="8"/>
        <v/>
      </c>
      <c r="X25" s="195" t="str">
        <f t="shared" si="9"/>
        <v/>
      </c>
      <c r="Y25" s="196" t="str">
        <f t="shared" si="10"/>
        <v/>
      </c>
      <c r="AA25" s="396">
        <f t="shared" si="3"/>
        <v>0</v>
      </c>
      <c r="AB25" s="396">
        <f t="shared" si="4"/>
        <v>0</v>
      </c>
      <c r="AC25" s="395">
        <f>SUM($N$20:N25)</f>
        <v>0</v>
      </c>
      <c r="AD25" s="401"/>
      <c r="AE25" s="357" t="str">
        <f t="shared" si="11"/>
        <v/>
      </c>
      <c r="AF25" s="426">
        <f t="shared" si="0"/>
        <v>0</v>
      </c>
      <c r="AG25" s="424"/>
      <c r="AH25" s="420"/>
    </row>
    <row r="26" spans="1:34" ht="15" customHeight="1">
      <c r="A26" s="650"/>
      <c r="B26" s="660"/>
      <c r="C26" s="562"/>
      <c r="D26" s="563"/>
      <c r="E26" s="387"/>
      <c r="F26" s="189" t="str">
        <f t="shared" si="1"/>
        <v/>
      </c>
      <c r="G26" s="380"/>
      <c r="H26" s="190" t="str">
        <f>IF(AND(E26="",G26=""),"",SUM(F26:$G$31))</f>
        <v/>
      </c>
      <c r="I26" s="191"/>
      <c r="J26" s="188"/>
      <c r="K26" s="188"/>
      <c r="L26" s="197" t="str">
        <f>IF(J26="Duplex",VLOOKUP(M26,'Características dos Cabos MX CH'!$C$12:$I$14,7),(IF(J26="Triplex",VLOOKUP(M26,'Características dos Cabos MX CH'!$C$15:$J$20,8),(IF(J26="Quadruplex",VLOOKUP(M26,'Características dos Cabos MX CH'!$C$21:$K$27,9),(IF(J26="13",VLOOKUP(M26,'Características dos Cabos MX CH'!$C$15:$L$20,10),"")))))))</f>
        <v/>
      </c>
      <c r="M26" s="350" t="str">
        <f t="shared" si="5"/>
        <v/>
      </c>
      <c r="N26" s="375"/>
      <c r="O26" s="192" t="str">
        <f t="shared" si="2"/>
        <v/>
      </c>
      <c r="P26" s="192" t="str">
        <f>IF(O26="","",SUM($O$20:O26))</f>
        <v/>
      </c>
      <c r="Q26" s="192" t="str">
        <f t="shared" si="6"/>
        <v/>
      </c>
      <c r="R26" s="193" t="str">
        <f>IF(J26="Duplex",VLOOKUP(M26,'Características dos Cabos MX CH'!$C$12:$I$14,5),(IF(J26="Triplex",VLOOKUP(M26,'Características dos Cabos MX CH'!$C$15:$J$20,5),(IF(J26="Quadruplex",VLOOKUP(M26,'Características dos Cabos MX CH'!$C$21:$K$27,5),(IF(J26="13",VLOOKUP(M26,'Características dos Cabos MX CH'!$C$15:$L$20,5),"")))))))</f>
        <v/>
      </c>
      <c r="S26" s="193" t="str">
        <f>IF(J26="Duplex",VLOOKUP(M26,'Características dos Cabos MX CH'!$C$12:$I$14,6),(IF(J26="Triplex",VLOOKUP(M26,'Características dos Cabos MX CH'!$C$15:$J$20,6),(IF(J26="Quadruplex",VLOOKUP(M26,'Características dos Cabos MX CH'!$C$21:$K$27,6),(IF(J26="13",VLOOKUP(M26,'Características dos Cabos MX CH'!$C$15:$L$20,6),"")))))))</f>
        <v/>
      </c>
      <c r="T26" s="194" t="str">
        <f t="shared" si="7"/>
        <v/>
      </c>
      <c r="U26" s="447" t="str">
        <f>IF(J26="Duplex",VLOOKUP(M26,'Características dos Cabos MX CH'!$C$12:$I$14,2),(IF(J26="Triplex",VLOOKUP(M26,'Características dos Cabos MX CH'!$C$15:$J$20,2),(IF(J26="Quadruplex",VLOOKUP(M26,'Características dos Cabos MX CH'!$C$21:$K$27,2),(IF(J26="13",VLOOKUP(M26,'Características dos Cabos MX CH'!$C$15:$L$20,2),"")))))))</f>
        <v/>
      </c>
      <c r="V26" s="193" t="str">
        <f>IF(J26="Duplex",VLOOKUP(M26,'Características dos Cabos MX CH'!$C$12:$I$14,3),(IF(J26="Triplex",VLOOKUP(M26,'Características dos Cabos MX CH'!$C$15:$J$20,3),(IF(J26="Quadruplex",VLOOKUP(M26,'Características dos Cabos MX CH'!$C$21:$K$27,3),(IF(J26="13",VLOOKUP(M26,'Características dos Cabos MX CH'!$C$15:$L$20,3),"")))))))</f>
        <v/>
      </c>
      <c r="W26" s="195" t="str">
        <f t="shared" si="8"/>
        <v/>
      </c>
      <c r="X26" s="195" t="str">
        <f t="shared" si="9"/>
        <v/>
      </c>
      <c r="Y26" s="196" t="str">
        <f t="shared" si="10"/>
        <v/>
      </c>
      <c r="AA26" s="396">
        <f t="shared" si="3"/>
        <v>0</v>
      </c>
      <c r="AB26" s="396">
        <f t="shared" si="4"/>
        <v>0</v>
      </c>
      <c r="AC26" s="395">
        <f>SUM($N$20:N26)</f>
        <v>0</v>
      </c>
      <c r="AD26" s="401"/>
      <c r="AE26" s="357" t="str">
        <f t="shared" si="11"/>
        <v/>
      </c>
      <c r="AF26" s="426">
        <f t="shared" si="0"/>
        <v>0</v>
      </c>
      <c r="AG26" s="424"/>
      <c r="AH26" s="420"/>
    </row>
    <row r="27" spans="1:34" ht="15" customHeight="1">
      <c r="A27" s="650"/>
      <c r="B27" s="660"/>
      <c r="C27" s="562"/>
      <c r="D27" s="563"/>
      <c r="E27" s="387"/>
      <c r="F27" s="189" t="str">
        <f t="shared" si="1"/>
        <v/>
      </c>
      <c r="G27" s="380"/>
      <c r="H27" s="190" t="str">
        <f>IF(AND(E27="",G27=""),"",SUM(F27:$G$31))</f>
        <v/>
      </c>
      <c r="I27" s="191"/>
      <c r="J27" s="188"/>
      <c r="K27" s="188"/>
      <c r="L27" s="197" t="str">
        <f>IF(J27="Duplex",VLOOKUP(M27,'Características dos Cabos MX CH'!$C$12:$I$14,7),(IF(J27="Triplex",VLOOKUP(M27,'Características dos Cabos MX CH'!$C$15:$J$20,8),(IF(J27="Quadruplex",VLOOKUP(M27,'Características dos Cabos MX CH'!$C$21:$K$27,9),(IF(J27="13",VLOOKUP(M27,'Características dos Cabos MX CH'!$C$15:$L$20,10),"")))))))</f>
        <v/>
      </c>
      <c r="M27" s="350" t="str">
        <f t="shared" si="5"/>
        <v/>
      </c>
      <c r="N27" s="375"/>
      <c r="O27" s="192" t="str">
        <f t="shared" si="2"/>
        <v/>
      </c>
      <c r="P27" s="192" t="str">
        <f>IF(O27="","",SUM($O$20:O27))</f>
        <v/>
      </c>
      <c r="Q27" s="192" t="str">
        <f t="shared" si="6"/>
        <v/>
      </c>
      <c r="R27" s="193" t="str">
        <f>IF(J27="Duplex",VLOOKUP(M27,'Características dos Cabos MX CH'!$C$12:$I$14,5),(IF(J27="Triplex",VLOOKUP(M27,'Características dos Cabos MX CH'!$C$15:$J$20,5),(IF(J27="Quadruplex",VLOOKUP(M27,'Características dos Cabos MX CH'!$C$21:$K$27,5),(IF(J27="13",VLOOKUP(M27,'Características dos Cabos MX CH'!$C$15:$L$20,5),"")))))))</f>
        <v/>
      </c>
      <c r="S27" s="193" t="str">
        <f>IF(J27="Duplex",VLOOKUP(M27,'Características dos Cabos MX CH'!$C$12:$I$14,6),(IF(J27="Triplex",VLOOKUP(M27,'Características dos Cabos MX CH'!$C$15:$J$20,6),(IF(J27="Quadruplex",VLOOKUP(M27,'Características dos Cabos MX CH'!$C$21:$K$27,6),(IF(J27="13",VLOOKUP(M27,'Características dos Cabos MX CH'!$C$15:$L$20,6),"")))))))</f>
        <v/>
      </c>
      <c r="T27" s="194" t="str">
        <f t="shared" si="7"/>
        <v/>
      </c>
      <c r="U27" s="447" t="str">
        <f>IF(J27="Duplex",VLOOKUP(M27,'Características dos Cabos MX CH'!$C$12:$I$14,2),(IF(J27="Triplex",VLOOKUP(M27,'Características dos Cabos MX CH'!$C$15:$J$20,2),(IF(J27="Quadruplex",VLOOKUP(M27,'Características dos Cabos MX CH'!$C$21:$K$27,2),(IF(J27="13",VLOOKUP(M27,'Características dos Cabos MX CH'!$C$15:$L$20,2),"")))))))</f>
        <v/>
      </c>
      <c r="V27" s="193" t="str">
        <f>IF(J27="Duplex",VLOOKUP(M27,'Características dos Cabos MX CH'!$C$12:$I$14,3),(IF(J27="Triplex",VLOOKUP(M27,'Características dos Cabos MX CH'!$C$15:$J$20,3),(IF(J27="Quadruplex",VLOOKUP(M27,'Características dos Cabos MX CH'!$C$21:$K$27,3),(IF(J27="13",VLOOKUP(M27,'Características dos Cabos MX CH'!$C$15:$L$20,3),"")))))))</f>
        <v/>
      </c>
      <c r="W27" s="195" t="str">
        <f t="shared" si="8"/>
        <v/>
      </c>
      <c r="X27" s="195" t="str">
        <f t="shared" si="9"/>
        <v/>
      </c>
      <c r="Y27" s="196" t="str">
        <f t="shared" si="10"/>
        <v/>
      </c>
      <c r="AA27" s="396">
        <f t="shared" si="3"/>
        <v>0</v>
      </c>
      <c r="AB27" s="396">
        <f t="shared" si="4"/>
        <v>0</v>
      </c>
      <c r="AC27" s="395">
        <f>SUM($N$20:N27)</f>
        <v>0</v>
      </c>
      <c r="AD27" s="401"/>
      <c r="AE27" s="357" t="str">
        <f t="shared" si="11"/>
        <v/>
      </c>
      <c r="AF27" s="426">
        <f t="shared" si="0"/>
        <v>0</v>
      </c>
      <c r="AG27" s="424"/>
      <c r="AH27" s="420"/>
    </row>
    <row r="28" spans="1:34" ht="15" customHeight="1">
      <c r="A28" s="650"/>
      <c r="B28" s="660"/>
      <c r="C28" s="562"/>
      <c r="D28" s="563"/>
      <c r="E28" s="387"/>
      <c r="F28" s="189" t="str">
        <f t="shared" si="1"/>
        <v/>
      </c>
      <c r="G28" s="380"/>
      <c r="H28" s="190" t="str">
        <f>IF(AND(E28="",G28=""),"",SUM(F28:$G$31))</f>
        <v/>
      </c>
      <c r="I28" s="191"/>
      <c r="J28" s="188"/>
      <c r="K28" s="188"/>
      <c r="L28" s="197" t="str">
        <f>IF(J28="Duplex",VLOOKUP(M28,'Características dos Cabos MX CH'!$C$12:$I$14,7),(IF(J28="Triplex",VLOOKUP(M28,'Características dos Cabos MX CH'!$C$15:$J$20,8),(IF(J28="Quadruplex",VLOOKUP(M28,'Características dos Cabos MX CH'!$C$21:$K$27,9),(IF(J28="13",VLOOKUP(M28,'Características dos Cabos MX CH'!$C$15:$L$20,10),"")))))))</f>
        <v/>
      </c>
      <c r="M28" s="350" t="str">
        <f t="shared" si="5"/>
        <v/>
      </c>
      <c r="N28" s="375"/>
      <c r="O28" s="192" t="str">
        <f t="shared" si="2"/>
        <v/>
      </c>
      <c r="P28" s="192" t="str">
        <f>IF(O28="","",SUM($O$20:O28))</f>
        <v/>
      </c>
      <c r="Q28" s="192" t="str">
        <f t="shared" si="6"/>
        <v/>
      </c>
      <c r="R28" s="193" t="str">
        <f>IF(J28="Duplex",VLOOKUP(M28,'Características dos Cabos MX CH'!$C$12:$I$14,5),(IF(J28="Triplex",VLOOKUP(M28,'Características dos Cabos MX CH'!$C$15:$J$20,5),(IF(J28="Quadruplex",VLOOKUP(M28,'Características dos Cabos MX CH'!$C$21:$K$27,5),(IF(J28="13",VLOOKUP(M28,'Características dos Cabos MX CH'!$C$15:$L$20,5),"")))))))</f>
        <v/>
      </c>
      <c r="S28" s="193" t="str">
        <f>IF(J28="Duplex",VLOOKUP(M28,'Características dos Cabos MX CH'!$C$12:$I$14,6),(IF(J28="Triplex",VLOOKUP(M28,'Características dos Cabos MX CH'!$C$15:$J$20,6),(IF(J28="Quadruplex",VLOOKUP(M28,'Características dos Cabos MX CH'!$C$21:$K$27,6),(IF(J28="13",VLOOKUP(M28,'Características dos Cabos MX CH'!$C$15:$L$20,6),"")))))))</f>
        <v/>
      </c>
      <c r="T28" s="194" t="str">
        <f t="shared" si="7"/>
        <v/>
      </c>
      <c r="U28" s="447" t="str">
        <f>IF(J28="Duplex",VLOOKUP(M28,'Características dos Cabos MX CH'!$C$12:$I$14,2),(IF(J28="Triplex",VLOOKUP(M28,'Características dos Cabos MX CH'!$C$15:$J$20,2),(IF(J28="Quadruplex",VLOOKUP(M28,'Características dos Cabos MX CH'!$C$21:$K$27,2),(IF(J28="13",VLOOKUP(M28,'Características dos Cabos MX CH'!$C$15:$L$20,2),"")))))))</f>
        <v/>
      </c>
      <c r="V28" s="193" t="str">
        <f>IF(J28="Duplex",VLOOKUP(M28,'Características dos Cabos MX CH'!$C$12:$I$14,3),(IF(J28="Triplex",VLOOKUP(M28,'Características dos Cabos MX CH'!$C$15:$J$20,3),(IF(J28="Quadruplex",VLOOKUP(M28,'Características dos Cabos MX CH'!$C$21:$K$27,3),(IF(J28="13",VLOOKUP(M28,'Características dos Cabos MX CH'!$C$15:$L$20,3),"")))))))</f>
        <v/>
      </c>
      <c r="W28" s="195" t="str">
        <f t="shared" si="8"/>
        <v/>
      </c>
      <c r="X28" s="195" t="str">
        <f t="shared" si="9"/>
        <v/>
      </c>
      <c r="Y28" s="196" t="str">
        <f t="shared" si="10"/>
        <v/>
      </c>
      <c r="AA28" s="396">
        <f t="shared" si="3"/>
        <v>0</v>
      </c>
      <c r="AB28" s="396">
        <f t="shared" si="4"/>
        <v>0</v>
      </c>
      <c r="AC28" s="395">
        <f>SUM($N$20:N28)</f>
        <v>0</v>
      </c>
      <c r="AD28" s="401"/>
      <c r="AE28" s="357" t="str">
        <f t="shared" si="11"/>
        <v/>
      </c>
      <c r="AF28" s="426">
        <f t="shared" si="0"/>
        <v>0</v>
      </c>
      <c r="AG28" s="424"/>
      <c r="AH28" s="420"/>
    </row>
    <row r="29" spans="1:34" ht="15" customHeight="1">
      <c r="A29" s="650"/>
      <c r="B29" s="660"/>
      <c r="C29" s="562"/>
      <c r="D29" s="563"/>
      <c r="E29" s="387"/>
      <c r="F29" s="189" t="str">
        <f t="shared" si="1"/>
        <v/>
      </c>
      <c r="G29" s="380"/>
      <c r="H29" s="190" t="str">
        <f>IF(AND(E29="",G29=""),"",SUM(F29:$G$31))</f>
        <v/>
      </c>
      <c r="I29" s="191"/>
      <c r="J29" s="188"/>
      <c r="K29" s="188"/>
      <c r="L29" s="197" t="str">
        <f>IF(J29="Duplex",VLOOKUP(M29,'Características dos Cabos MX CH'!$C$12:$I$14,7),(IF(J29="Triplex",VLOOKUP(M29,'Características dos Cabos MX CH'!$C$15:$J$20,8),(IF(J29="Quadruplex",VLOOKUP(M29,'Características dos Cabos MX CH'!$C$21:$K$27,9),(IF(J29="13",VLOOKUP(M29,'Características dos Cabos MX CH'!$C$15:$L$20,10),"")))))))</f>
        <v/>
      </c>
      <c r="M29" s="350" t="str">
        <f t="shared" si="5"/>
        <v/>
      </c>
      <c r="N29" s="375"/>
      <c r="O29" s="192" t="str">
        <f t="shared" si="2"/>
        <v/>
      </c>
      <c r="P29" s="192" t="str">
        <f>IF(O29="","",SUM($O$20:O29))</f>
        <v/>
      </c>
      <c r="Q29" s="192" t="str">
        <f t="shared" si="6"/>
        <v/>
      </c>
      <c r="R29" s="193" t="str">
        <f>IF(J29="Duplex",VLOOKUP(M29,'Características dos Cabos MX CH'!$C$12:$I$14,5),(IF(J29="Triplex",VLOOKUP(M29,'Características dos Cabos MX CH'!$C$15:$J$20,5),(IF(J29="Quadruplex",VLOOKUP(M29,'Características dos Cabos MX CH'!$C$21:$K$27,5),(IF(J29="13",VLOOKUP(M29,'Características dos Cabos MX CH'!$C$15:$L$20,5),"")))))))</f>
        <v/>
      </c>
      <c r="S29" s="193" t="str">
        <f>IF(J29="Duplex",VLOOKUP(M29,'Características dos Cabos MX CH'!$C$12:$I$14,6),(IF(J29="Triplex",VLOOKUP(M29,'Características dos Cabos MX CH'!$C$15:$J$20,6),(IF(J29="Quadruplex",VLOOKUP(M29,'Características dos Cabos MX CH'!$C$21:$K$27,6),(IF(J29="13",VLOOKUP(M29,'Características dos Cabos MX CH'!$C$15:$L$20,6),"")))))))</f>
        <v/>
      </c>
      <c r="T29" s="194" t="str">
        <f t="shared" si="7"/>
        <v/>
      </c>
      <c r="U29" s="447" t="str">
        <f>IF(J29="Duplex",VLOOKUP(M29,'Características dos Cabos MX CH'!$C$12:$I$14,2),(IF(J29="Triplex",VLOOKUP(M29,'Características dos Cabos MX CH'!$C$15:$J$20,2),(IF(J29="Quadruplex",VLOOKUP(M29,'Características dos Cabos MX CH'!$C$21:$K$27,2),(IF(J29="13",VLOOKUP(M29,'Características dos Cabos MX CH'!$C$15:$L$20,2),"")))))))</f>
        <v/>
      </c>
      <c r="V29" s="193" t="str">
        <f>IF(J29="Duplex",VLOOKUP(M29,'Características dos Cabos MX CH'!$C$12:$I$14,3),(IF(J29="Triplex",VLOOKUP(M29,'Características dos Cabos MX CH'!$C$15:$J$20,3),(IF(J29="Quadruplex",VLOOKUP(M29,'Características dos Cabos MX CH'!$C$21:$K$27,3),(IF(J29="13",VLOOKUP(M29,'Características dos Cabos MX CH'!$C$15:$L$20,3),"")))))))</f>
        <v/>
      </c>
      <c r="W29" s="195" t="str">
        <f t="shared" si="8"/>
        <v/>
      </c>
      <c r="X29" s="195" t="str">
        <f t="shared" si="9"/>
        <v/>
      </c>
      <c r="Y29" s="196" t="str">
        <f t="shared" si="10"/>
        <v/>
      </c>
      <c r="AA29" s="396">
        <f t="shared" si="3"/>
        <v>0</v>
      </c>
      <c r="AB29" s="396">
        <f t="shared" si="4"/>
        <v>0</v>
      </c>
      <c r="AC29" s="395">
        <f>SUM($N$20:N29)</f>
        <v>0</v>
      </c>
      <c r="AD29" s="401"/>
      <c r="AE29" s="357" t="str">
        <f t="shared" si="11"/>
        <v/>
      </c>
      <c r="AF29" s="426">
        <f t="shared" si="0"/>
        <v>0</v>
      </c>
      <c r="AG29" s="424"/>
      <c r="AH29" s="420"/>
    </row>
    <row r="30" spans="1:34" ht="15" customHeight="1">
      <c r="A30" s="650"/>
      <c r="B30" s="660"/>
      <c r="C30" s="562"/>
      <c r="D30" s="563"/>
      <c r="E30" s="387"/>
      <c r="F30" s="189" t="str">
        <f t="shared" si="1"/>
        <v/>
      </c>
      <c r="G30" s="380"/>
      <c r="H30" s="190" t="str">
        <f>IF(AND(E30="",G30=""),"",SUM(F30:$G$31))</f>
        <v/>
      </c>
      <c r="I30" s="191"/>
      <c r="J30" s="188"/>
      <c r="K30" s="188"/>
      <c r="L30" s="197" t="str">
        <f>IF(J30="Duplex",VLOOKUP(M30,'Características dos Cabos MX CH'!$C$12:$I$14,7),(IF(J30="Triplex",VLOOKUP(M30,'Características dos Cabos MX CH'!$C$15:$J$20,8),(IF(J30="Quadruplex",VLOOKUP(M30,'Características dos Cabos MX CH'!$C$21:$K$27,9),(IF(J30="13",VLOOKUP(M30,'Características dos Cabos MX CH'!$C$15:$L$20,10),"")))))))</f>
        <v/>
      </c>
      <c r="M30" s="350" t="str">
        <f t="shared" si="5"/>
        <v/>
      </c>
      <c r="N30" s="375"/>
      <c r="O30" s="192" t="str">
        <f t="shared" si="2"/>
        <v/>
      </c>
      <c r="P30" s="192" t="str">
        <f>IF(O30="","",SUM($O$20:O30))</f>
        <v/>
      </c>
      <c r="Q30" s="192" t="str">
        <f t="shared" si="6"/>
        <v/>
      </c>
      <c r="R30" s="193" t="str">
        <f>IF(J30="Duplex",VLOOKUP(M30,'Características dos Cabos MX CH'!$C$12:$I$14,5),(IF(J30="Triplex",VLOOKUP(M30,'Características dos Cabos MX CH'!$C$15:$J$20,5),(IF(J30="Quadruplex",VLOOKUP(M30,'Características dos Cabos MX CH'!$C$21:$K$27,5),(IF(J30="13",VLOOKUP(M30,'Características dos Cabos MX CH'!$C$15:$L$20,5),"")))))))</f>
        <v/>
      </c>
      <c r="S30" s="193" t="str">
        <f>IF(J30="Duplex",VLOOKUP(M30,'Características dos Cabos MX CH'!$C$12:$I$14,6),(IF(J30="Triplex",VLOOKUP(M30,'Características dos Cabos MX CH'!$C$15:$J$20,6),(IF(J30="Quadruplex",VLOOKUP(M30,'Características dos Cabos MX CH'!$C$21:$K$27,6),(IF(J30="13",VLOOKUP(M30,'Características dos Cabos MX CH'!$C$15:$L$20,6),"")))))))</f>
        <v/>
      </c>
      <c r="T30" s="194" t="str">
        <f t="shared" si="7"/>
        <v/>
      </c>
      <c r="U30" s="447" t="str">
        <f>IF(J30="Duplex",VLOOKUP(M30,'Características dos Cabos MX CH'!$C$12:$I$14,2),(IF(J30="Triplex",VLOOKUP(M30,'Características dos Cabos MX CH'!$C$15:$J$20,2),(IF(J30="Quadruplex",VLOOKUP(M30,'Características dos Cabos MX CH'!$C$21:$K$27,2),(IF(J30="13",VLOOKUP(M30,'Características dos Cabos MX CH'!$C$15:$L$20,2),"")))))))</f>
        <v/>
      </c>
      <c r="V30" s="193" t="str">
        <f>IF(J30="Duplex",VLOOKUP(M30,'Características dos Cabos MX CH'!$C$12:$I$14,3),(IF(J30="Triplex",VLOOKUP(M30,'Características dos Cabos MX CH'!$C$15:$J$20,3),(IF(J30="Quadruplex",VLOOKUP(M30,'Características dos Cabos MX CH'!$C$21:$K$27,3),(IF(J30="13",VLOOKUP(M30,'Características dos Cabos MX CH'!$C$15:$L$20,3),"")))))))</f>
        <v/>
      </c>
      <c r="W30" s="195" t="str">
        <f t="shared" si="8"/>
        <v/>
      </c>
      <c r="X30" s="195" t="str">
        <f t="shared" si="9"/>
        <v/>
      </c>
      <c r="Y30" s="196" t="str">
        <f t="shared" si="10"/>
        <v/>
      </c>
      <c r="AA30" s="396">
        <f t="shared" si="3"/>
        <v>0</v>
      </c>
      <c r="AB30" s="396">
        <f t="shared" si="4"/>
        <v>0</v>
      </c>
      <c r="AC30" s="395">
        <f>SUM($N$20:N30)</f>
        <v>0</v>
      </c>
      <c r="AD30" s="401"/>
      <c r="AE30" s="357" t="str">
        <f t="shared" si="11"/>
        <v/>
      </c>
      <c r="AF30" s="426">
        <f t="shared" si="0"/>
        <v>0</v>
      </c>
      <c r="AG30" s="424"/>
      <c r="AH30" s="420"/>
    </row>
    <row r="31" spans="1:34" ht="15" customHeight="1" thickBot="1">
      <c r="A31" s="650"/>
      <c r="B31" s="661"/>
      <c r="C31" s="562"/>
      <c r="D31" s="361"/>
      <c r="E31" s="433"/>
      <c r="F31" s="189" t="str">
        <f t="shared" si="1"/>
        <v/>
      </c>
      <c r="G31" s="381"/>
      <c r="H31" s="200" t="str">
        <f>IF(AND(E31="",G31=""),"",SUM(F31:$G$31))</f>
        <v/>
      </c>
      <c r="I31" s="201"/>
      <c r="J31" s="198"/>
      <c r="K31" s="198"/>
      <c r="L31" s="202" t="str">
        <f>IF(J31="Duplex",VLOOKUP(M31,'Características dos Cabos MX CH'!$C$12:$I$14,7),(IF(J31="Triplex",VLOOKUP(M31,'Características dos Cabos MX CH'!$C$15:$J$20,8),(IF(J31="Quadruplex",VLOOKUP(M31,'Características dos Cabos MX CH'!$C$21:$K$27,9),(IF(J31="13",VLOOKUP(M31,'Características dos Cabos MX CH'!$C$15:$L$20,10),"")))))))</f>
        <v/>
      </c>
      <c r="M31" s="353" t="str">
        <f t="shared" si="5"/>
        <v/>
      </c>
      <c r="N31" s="375"/>
      <c r="O31" s="203" t="str">
        <f t="shared" si="2"/>
        <v/>
      </c>
      <c r="P31" s="203" t="str">
        <f>IF(O31="","",SUM($O$20:O31))</f>
        <v/>
      </c>
      <c r="Q31" s="203" t="str">
        <f t="shared" si="6"/>
        <v/>
      </c>
      <c r="R31" s="204" t="str">
        <f>IF(J31="Duplex",VLOOKUP(M31,'Características dos Cabos MX CH'!$C$12:$I$14,5),(IF(J31="Triplex",VLOOKUP(M31,'Características dos Cabos MX CH'!$C$15:$J$20,5),(IF(J31="Quadruplex",VLOOKUP(M31,'Características dos Cabos MX CH'!$C$21:$K$27,5),(IF(J31="13",VLOOKUP(M31,'Características dos Cabos MX CH'!$C$15:$L$20,5),"")))))))</f>
        <v/>
      </c>
      <c r="S31" s="204" t="str">
        <f>IF(J31="Duplex",VLOOKUP(M31,'Características dos Cabos MX CH'!$C$12:$I$14,6),(IF(J31="Triplex",VLOOKUP(M31,'Características dos Cabos MX CH'!$C$15:$J$20,6),(IF(J31="Quadruplex",VLOOKUP(M31,'Características dos Cabos MX CH'!$C$21:$K$27,6),(IF(J31="13",VLOOKUP(M31,'Características dos Cabos MX CH'!$C$15:$L$20,6),"")))))))</f>
        <v/>
      </c>
      <c r="T31" s="205" t="str">
        <f t="shared" si="7"/>
        <v/>
      </c>
      <c r="U31" s="448" t="str">
        <f>IF(J31="Duplex",VLOOKUP(M31,'Características dos Cabos MX CH'!$C$12:$I$14,2),(IF(J31="Triplex",VLOOKUP(M31,'Características dos Cabos MX CH'!$C$15:$J$20,2),(IF(J31="Quadruplex",VLOOKUP(M31,'Características dos Cabos MX CH'!$C$21:$K$27,2),(IF(J31="13",VLOOKUP(M31,'Características dos Cabos MX CH'!$C$15:$L$20,2),"")))))))</f>
        <v/>
      </c>
      <c r="V31" s="204" t="str">
        <f>IF(J31="Duplex",VLOOKUP(M31,'Características dos Cabos MX CH'!$C$12:$I$14,3),(IF(J31="Triplex",VLOOKUP(M31,'Características dos Cabos MX CH'!$C$15:$J$20,3),(IF(J31="Quadruplex",VLOOKUP(M31,'Características dos Cabos MX CH'!$C$21:$K$27,3),(IF(J31="13",VLOOKUP(M31,'Características dos Cabos MX CH'!$C$15:$L$20,3),"")))))))</f>
        <v/>
      </c>
      <c r="W31" s="206" t="str">
        <f t="shared" si="8"/>
        <v/>
      </c>
      <c r="X31" s="206" t="str">
        <f t="shared" si="9"/>
        <v/>
      </c>
      <c r="Y31" s="207" t="str">
        <f t="shared" si="10"/>
        <v/>
      </c>
      <c r="AA31" s="396">
        <f t="shared" si="3"/>
        <v>0</v>
      </c>
      <c r="AB31" s="396">
        <f t="shared" si="4"/>
        <v>0</v>
      </c>
      <c r="AC31" s="395">
        <f>SUM($N$20:N31)</f>
        <v>0</v>
      </c>
      <c r="AD31" s="401"/>
      <c r="AE31" s="357" t="str">
        <f t="shared" si="11"/>
        <v/>
      </c>
      <c r="AF31" s="426">
        <f t="shared" si="0"/>
        <v>0</v>
      </c>
      <c r="AG31" s="424"/>
      <c r="AH31" s="420"/>
    </row>
    <row r="32" spans="1:34" ht="15" customHeight="1" thickTop="1">
      <c r="A32" s="650"/>
      <c r="B32" s="649" t="s">
        <v>90</v>
      </c>
      <c r="C32" s="701" t="s">
        <v>64</v>
      </c>
      <c r="D32" s="663"/>
      <c r="E32" s="358" t="s">
        <v>64</v>
      </c>
      <c r="F32" s="189"/>
      <c r="G32" s="182" t="s">
        <v>64</v>
      </c>
      <c r="H32" s="182" t="s">
        <v>64</v>
      </c>
      <c r="I32" s="183"/>
      <c r="J32" s="182" t="s">
        <v>64</v>
      </c>
      <c r="K32" s="182" t="s">
        <v>64</v>
      </c>
      <c r="L32" s="184" t="s">
        <v>64</v>
      </c>
      <c r="M32" s="185"/>
      <c r="N32" s="182" t="s">
        <v>64</v>
      </c>
      <c r="O32" s="184" t="s">
        <v>67</v>
      </c>
      <c r="P32" s="184" t="s">
        <v>67</v>
      </c>
      <c r="Q32" s="184" t="s">
        <v>67</v>
      </c>
      <c r="R32" s="186" t="s">
        <v>122</v>
      </c>
      <c r="S32" s="186" t="s">
        <v>123</v>
      </c>
      <c r="T32" s="184" t="s">
        <v>67</v>
      </c>
      <c r="U32" s="186" t="s">
        <v>67</v>
      </c>
      <c r="V32" s="186"/>
      <c r="W32" s="186" t="s">
        <v>67</v>
      </c>
      <c r="X32" s="186" t="s">
        <v>64</v>
      </c>
      <c r="Y32" s="187" t="s">
        <v>65</v>
      </c>
      <c r="AA32" s="396"/>
      <c r="AB32" s="395"/>
      <c r="AC32" s="395"/>
      <c r="AD32" s="401"/>
      <c r="AE32" s="357"/>
      <c r="AF32" s="426" t="str">
        <f t="shared" si="0"/>
        <v>-------------</v>
      </c>
      <c r="AG32" s="424" t="e">
        <f>SQRT(3)*(Q33+Q45)*0.22</f>
        <v>#VALUE!</v>
      </c>
      <c r="AH32" s="420"/>
    </row>
    <row r="33" spans="1:34" ht="15" customHeight="1">
      <c r="A33" s="650"/>
      <c r="B33" s="650"/>
      <c r="C33" s="359" t="s">
        <v>71</v>
      </c>
      <c r="D33" s="564"/>
      <c r="E33" s="362"/>
      <c r="F33" s="189" t="str">
        <f t="shared" si="1"/>
        <v/>
      </c>
      <c r="G33" s="380"/>
      <c r="H33" s="190" t="str">
        <f>IF(AND(E33="",G33=""),"",SUM(F33:$G$44))</f>
        <v/>
      </c>
      <c r="I33" s="191"/>
      <c r="J33" s="188"/>
      <c r="K33" s="188"/>
      <c r="L33" s="197" t="str">
        <f>IF(J33="Duplex",VLOOKUP(M33,'Características dos Cabos MX CH'!$C$12:$I$14,7),(IF(J33="Triplex",VLOOKUP(M33,'Características dos Cabos MX CH'!$C$15:$J$20,8),(IF(J33="Quadruplex",VLOOKUP(M33,'Características dos Cabos MX CH'!$C$21:$K$27,9),(IF(J33="13",VLOOKUP(M33,'Características dos Cabos MX CH'!$C$15:$L$20,10),"")))))))</f>
        <v/>
      </c>
      <c r="M33" s="350" t="str">
        <f t="shared" si="5"/>
        <v/>
      </c>
      <c r="N33" s="375"/>
      <c r="O33" s="192" t="str">
        <f t="shared" si="2"/>
        <v/>
      </c>
      <c r="P33" s="192" t="str">
        <f>IF(O33="","",SUM($O$33:O33))</f>
        <v/>
      </c>
      <c r="Q33" s="192" t="str">
        <f t="shared" si="6"/>
        <v/>
      </c>
      <c r="R33" s="193" t="str">
        <f>IF(J33="Duplex",VLOOKUP(M33,'Características dos Cabos MX CH'!$C$12:$I$14,5),(IF(J33="Triplex",VLOOKUP(M33,'Características dos Cabos MX CH'!$C$15:$J$20,5),(IF(J33="Quadruplex",VLOOKUP(M33,'Características dos Cabos MX CH'!$C$21:$K$27,5),(IF(J33="13",VLOOKUP(M33,'Características dos Cabos MX CH'!$C$15:$L$20,5),"")))))))</f>
        <v/>
      </c>
      <c r="S33" s="193" t="str">
        <f>IF(J33="Duplex",VLOOKUP(M33,'Características dos Cabos MX CH'!$C$12:$I$14,6),(IF(J33="Triplex",VLOOKUP(M33,'Características dos Cabos MX CH'!$C$15:$J$20,6),(IF(J33="Quadruplex",VLOOKUP(M33,'Características dos Cabos MX CH'!$C$21:$K$27,6),(IF(J33="13",VLOOKUP(M33,'Características dos Cabos MX CH'!$C$15:$L$20,6),"")))))))</f>
        <v/>
      </c>
      <c r="T33" s="194" t="str">
        <f t="shared" si="7"/>
        <v/>
      </c>
      <c r="U33" s="447" t="str">
        <f>IF(J33="Duplex",VLOOKUP(M33,'Características dos Cabos MX CH'!$C$12:$I$14,2),(IF(J33="Triplex",VLOOKUP(M33,'Características dos Cabos MX CH'!$C$15:$J$20,2),(IF(J33="Quadruplex",VLOOKUP(M33,'Características dos Cabos MX CH'!$C$21:$K$27,2),(IF(J33="13",VLOOKUP(M33,'Características dos Cabos MX CH'!$C$15:$L$20,2),"")))))))</f>
        <v/>
      </c>
      <c r="V33" s="193" t="str">
        <f>IF(J33="Duplex",VLOOKUP(M33,'Características dos Cabos MX CH'!$C$12:$I$14,3),(IF(J33="Triplex",VLOOKUP(M33,'Características dos Cabos MX CH'!$C$15:$J$20,3),(IF(J33="Quadruplex",VLOOKUP(M33,'Características dos Cabos MX CH'!$C$21:$K$27,3),(IF(J33="13",VLOOKUP(M33,'Características dos Cabos MX CH'!$C$15:$L$20,3),"")))))))</f>
        <v/>
      </c>
      <c r="W33" s="195" t="str">
        <f t="shared" si="8"/>
        <v/>
      </c>
      <c r="X33" s="195" t="str">
        <f t="shared" si="9"/>
        <v/>
      </c>
      <c r="Y33" s="196" t="str">
        <f t="shared" si="10"/>
        <v/>
      </c>
      <c r="AA33" s="396">
        <f t="shared" si="3"/>
        <v>0</v>
      </c>
      <c r="AB33" s="396">
        <f t="shared" si="4"/>
        <v>0</v>
      </c>
      <c r="AC33" s="395">
        <f>SUM($N$33:N33)</f>
        <v>0</v>
      </c>
      <c r="AD33" s="401"/>
      <c r="AE33" s="357" t="str">
        <f t="shared" si="11"/>
        <v/>
      </c>
      <c r="AF33" s="426">
        <f t="shared" si="0"/>
        <v>0</v>
      </c>
      <c r="AG33" s="424"/>
      <c r="AH33" s="420"/>
    </row>
    <row r="34" spans="1:34" ht="15" customHeight="1">
      <c r="A34" s="650"/>
      <c r="B34" s="650"/>
      <c r="C34" s="562"/>
      <c r="D34" s="548"/>
      <c r="E34" s="362"/>
      <c r="F34" s="189" t="str">
        <f t="shared" si="1"/>
        <v/>
      </c>
      <c r="G34" s="380"/>
      <c r="H34" s="190" t="str">
        <f>IF(AND(E34="",G34=""),"",SUM(F34:$G$44))</f>
        <v/>
      </c>
      <c r="I34" s="191"/>
      <c r="J34" s="188"/>
      <c r="K34" s="188"/>
      <c r="L34" s="197" t="str">
        <f>IF(J34="Duplex",VLOOKUP(M34,'Características dos Cabos MX CH'!$C$12:$I$14,7),(IF(J34="Triplex",VLOOKUP(M34,'Características dos Cabos MX CH'!$C$15:$J$20,8),(IF(J34="Quadruplex",VLOOKUP(M34,'Características dos Cabos MX CH'!$C$21:$K$27,9),(IF(J34="13",VLOOKUP(M34,'Características dos Cabos MX CH'!$C$15:$L$20,10),"")))))))</f>
        <v/>
      </c>
      <c r="M34" s="350" t="str">
        <f t="shared" si="5"/>
        <v/>
      </c>
      <c r="N34" s="375"/>
      <c r="O34" s="192" t="str">
        <f t="shared" si="2"/>
        <v/>
      </c>
      <c r="P34" s="192" t="str">
        <f>IF(O34="","",SUM($O$33:O34))</f>
        <v/>
      </c>
      <c r="Q34" s="192" t="str">
        <f t="shared" si="6"/>
        <v/>
      </c>
      <c r="R34" s="193" t="str">
        <f>IF(J34="Duplex",VLOOKUP(M34,'Características dos Cabos MX CH'!$C$12:$I$14,5),(IF(J34="Triplex",VLOOKUP(M34,'Características dos Cabos MX CH'!$C$15:$J$20,5),(IF(J34="Quadruplex",VLOOKUP(M34,'Características dos Cabos MX CH'!$C$21:$K$27,5),(IF(J34="13",VLOOKUP(M34,'Características dos Cabos MX CH'!$C$15:$L$20,5),"")))))))</f>
        <v/>
      </c>
      <c r="S34" s="193" t="str">
        <f>IF(J34="Duplex",VLOOKUP(M34,'Características dos Cabos MX CH'!$C$12:$I$14,6),(IF(J34="Triplex",VLOOKUP(M34,'Características dos Cabos MX CH'!$C$15:$J$20,6),(IF(J34="Quadruplex",VLOOKUP(M34,'Características dos Cabos MX CH'!$C$21:$K$27,6),(IF(J34="13",VLOOKUP(M34,'Características dos Cabos MX CH'!$C$15:$L$20,6),"")))))))</f>
        <v/>
      </c>
      <c r="T34" s="194" t="str">
        <f t="shared" si="7"/>
        <v/>
      </c>
      <c r="U34" s="447" t="str">
        <f>IF(J34="Duplex",VLOOKUP(M34,'Características dos Cabos MX CH'!$C$12:$I$14,2),(IF(J34="Triplex",VLOOKUP(M34,'Características dos Cabos MX CH'!$C$15:$J$20,2),(IF(J34="Quadruplex",VLOOKUP(M34,'Características dos Cabos MX CH'!$C$21:$K$27,2),(IF(J34="13",VLOOKUP(M34,'Características dos Cabos MX CH'!$C$15:$L$20,2),"")))))))</f>
        <v/>
      </c>
      <c r="V34" s="193" t="str">
        <f>IF(J34="Duplex",VLOOKUP(M34,'Características dos Cabos MX CH'!$C$12:$I$14,3),(IF(J34="Triplex",VLOOKUP(M34,'Características dos Cabos MX CH'!$C$15:$J$20,3),(IF(J34="Quadruplex",VLOOKUP(M34,'Características dos Cabos MX CH'!$C$21:$K$27,3),(IF(J34="13",VLOOKUP(M34,'Características dos Cabos MX CH'!$C$15:$L$20,3),"")))))))</f>
        <v/>
      </c>
      <c r="W34" s="195" t="str">
        <f t="shared" si="8"/>
        <v/>
      </c>
      <c r="X34" s="195" t="str">
        <f t="shared" si="9"/>
        <v/>
      </c>
      <c r="Y34" s="196" t="str">
        <f t="shared" si="10"/>
        <v/>
      </c>
      <c r="AA34" s="396">
        <f t="shared" si="3"/>
        <v>0</v>
      </c>
      <c r="AB34" s="396">
        <f t="shared" si="4"/>
        <v>0</v>
      </c>
      <c r="AC34" s="395">
        <f>SUM($N$33:N34)</f>
        <v>0</v>
      </c>
      <c r="AD34" s="401"/>
      <c r="AE34" s="357" t="str">
        <f t="shared" si="11"/>
        <v/>
      </c>
      <c r="AF34" s="426">
        <f t="shared" si="0"/>
        <v>0</v>
      </c>
      <c r="AG34" s="424"/>
      <c r="AH34" s="420"/>
    </row>
    <row r="35" spans="1:34" ht="15" customHeight="1">
      <c r="A35" s="650"/>
      <c r="B35" s="650"/>
      <c r="C35" s="547"/>
      <c r="D35" s="563"/>
      <c r="E35" s="362"/>
      <c r="F35" s="189" t="str">
        <f t="shared" si="1"/>
        <v/>
      </c>
      <c r="G35" s="380"/>
      <c r="H35" s="190" t="str">
        <f>IF(AND(E35="",G35=""),"",SUM(F35:$G$44))</f>
        <v/>
      </c>
      <c r="I35" s="191"/>
      <c r="J35" s="188"/>
      <c r="K35" s="188"/>
      <c r="L35" s="197" t="str">
        <f>IF(J35="Duplex",VLOOKUP(M35,'Características dos Cabos MX CH'!$C$12:$I$14,7),(IF(J35="Triplex",VLOOKUP(M35,'Características dos Cabos MX CH'!$C$15:$J$20,8),(IF(J35="Quadruplex",VLOOKUP(M35,'Características dos Cabos MX CH'!$C$21:$K$27,9),(IF(J35="13",VLOOKUP(M35,'Características dos Cabos MX CH'!$C$15:$L$20,10),"")))))))</f>
        <v/>
      </c>
      <c r="M35" s="350" t="str">
        <f t="shared" si="5"/>
        <v/>
      </c>
      <c r="N35" s="375"/>
      <c r="O35" s="192" t="str">
        <f t="shared" si="2"/>
        <v/>
      </c>
      <c r="P35" s="192" t="str">
        <f>IF(O35="","",SUM($O$33:O35))</f>
        <v/>
      </c>
      <c r="Q35" s="192" t="str">
        <f t="shared" si="6"/>
        <v/>
      </c>
      <c r="R35" s="193" t="str">
        <f>IF(J35="Duplex",VLOOKUP(M35,'Características dos Cabos MX CH'!$C$12:$I$14,5),(IF(J35="Triplex",VLOOKUP(M35,'Características dos Cabos MX CH'!$C$15:$J$20,5),(IF(J35="Quadruplex",VLOOKUP(M35,'Características dos Cabos MX CH'!$C$21:$K$27,5),(IF(J35="13",VLOOKUP(M35,'Características dos Cabos MX CH'!$C$15:$L$20,5),"")))))))</f>
        <v/>
      </c>
      <c r="S35" s="193" t="str">
        <f>IF(J35="Duplex",VLOOKUP(M35,'Características dos Cabos MX CH'!$C$12:$I$14,6),(IF(J35="Triplex",VLOOKUP(M35,'Características dos Cabos MX CH'!$C$15:$J$20,6),(IF(J35="Quadruplex",VLOOKUP(M35,'Características dos Cabos MX CH'!$C$21:$K$27,6),(IF(J35="13",VLOOKUP(M35,'Características dos Cabos MX CH'!$C$15:$L$20,6),"")))))))</f>
        <v/>
      </c>
      <c r="T35" s="194" t="str">
        <f t="shared" si="7"/>
        <v/>
      </c>
      <c r="U35" s="447" t="str">
        <f>IF(J35="Duplex",VLOOKUP(M35,'Características dos Cabos MX CH'!$C$12:$I$14,2),(IF(J35="Triplex",VLOOKUP(M35,'Características dos Cabos MX CH'!$C$15:$J$20,2),(IF(J35="Quadruplex",VLOOKUP(M35,'Características dos Cabos MX CH'!$C$21:$K$27,2),(IF(J35="13",VLOOKUP(M35,'Características dos Cabos MX CH'!$C$15:$L$20,2),"")))))))</f>
        <v/>
      </c>
      <c r="V35" s="193" t="str">
        <f>IF(J35="Duplex",VLOOKUP(M35,'Características dos Cabos MX CH'!$C$12:$I$14,3),(IF(J35="Triplex",VLOOKUP(M35,'Características dos Cabos MX CH'!$C$15:$J$20,3),(IF(J35="Quadruplex",VLOOKUP(M35,'Características dos Cabos MX CH'!$C$21:$K$27,3),(IF(J35="13",VLOOKUP(M35,'Características dos Cabos MX CH'!$C$15:$L$20,3),"")))))))</f>
        <v/>
      </c>
      <c r="W35" s="195" t="str">
        <f t="shared" si="8"/>
        <v/>
      </c>
      <c r="X35" s="195" t="str">
        <f t="shared" si="9"/>
        <v/>
      </c>
      <c r="Y35" s="196" t="str">
        <f t="shared" si="10"/>
        <v/>
      </c>
      <c r="AA35" s="396">
        <f t="shared" si="3"/>
        <v>0</v>
      </c>
      <c r="AB35" s="396">
        <f t="shared" si="4"/>
        <v>0</v>
      </c>
      <c r="AC35" s="395">
        <f>SUM($N$33:N35)</f>
        <v>0</v>
      </c>
      <c r="AD35" s="401"/>
      <c r="AE35" s="357" t="str">
        <f t="shared" si="11"/>
        <v/>
      </c>
      <c r="AF35" s="426">
        <f t="shared" si="0"/>
        <v>0</v>
      </c>
      <c r="AG35" s="424"/>
      <c r="AH35" s="420"/>
    </row>
    <row r="36" spans="1:34" ht="15" customHeight="1">
      <c r="A36" s="650"/>
      <c r="B36" s="650"/>
      <c r="C36" s="562"/>
      <c r="D36" s="563"/>
      <c r="E36" s="362"/>
      <c r="F36" s="189" t="str">
        <f t="shared" si="1"/>
        <v/>
      </c>
      <c r="G36" s="380"/>
      <c r="H36" s="190" t="str">
        <f>IF(AND(E36="",G36=""),"",SUM(F36:$G$44))</f>
        <v/>
      </c>
      <c r="I36" s="191"/>
      <c r="J36" s="188"/>
      <c r="K36" s="188"/>
      <c r="L36" s="197" t="str">
        <f>IF(J36="Duplex",VLOOKUP(M36,'Características dos Cabos MX CH'!$C$12:$I$14,7),(IF(J36="Triplex",VLOOKUP(M36,'Características dos Cabos MX CH'!$C$15:$J$20,8),(IF(J36="Quadruplex",VLOOKUP(M36,'Características dos Cabos MX CH'!$C$21:$K$27,9),(IF(J36="13",VLOOKUP(M36,'Características dos Cabos MX CH'!$C$15:$L$20,10),"")))))))</f>
        <v/>
      </c>
      <c r="M36" s="350" t="str">
        <f t="shared" si="5"/>
        <v/>
      </c>
      <c r="N36" s="375"/>
      <c r="O36" s="192" t="str">
        <f t="shared" si="2"/>
        <v/>
      </c>
      <c r="P36" s="192" t="str">
        <f>IF(O36="","",SUM($O$33:O36))</f>
        <v/>
      </c>
      <c r="Q36" s="192" t="str">
        <f t="shared" si="6"/>
        <v/>
      </c>
      <c r="R36" s="193" t="str">
        <f>IF(J36="Duplex",VLOOKUP(M36,'Características dos Cabos MX CH'!$C$12:$I$14,5),(IF(J36="Triplex",VLOOKUP(M36,'Características dos Cabos MX CH'!$C$15:$J$20,5),(IF(J36="Quadruplex",VLOOKUP(M36,'Características dos Cabos MX CH'!$C$21:$K$27,5),(IF(J36="13",VLOOKUP(M36,'Características dos Cabos MX CH'!$C$15:$L$20,5),"")))))))</f>
        <v/>
      </c>
      <c r="S36" s="193" t="str">
        <f>IF(J36="Duplex",VLOOKUP(M36,'Características dos Cabos MX CH'!$C$12:$I$14,6),(IF(J36="Triplex",VLOOKUP(M36,'Características dos Cabos MX CH'!$C$15:$J$20,6),(IF(J36="Quadruplex",VLOOKUP(M36,'Características dos Cabos MX CH'!$C$21:$K$27,6),(IF(J36="13",VLOOKUP(M36,'Características dos Cabos MX CH'!$C$15:$L$20,6),"")))))))</f>
        <v/>
      </c>
      <c r="T36" s="194" t="str">
        <f t="shared" si="7"/>
        <v/>
      </c>
      <c r="U36" s="447" t="str">
        <f>IF(J36="Duplex",VLOOKUP(M36,'Características dos Cabos MX CH'!$C$12:$I$14,2),(IF(J36="Triplex",VLOOKUP(M36,'Características dos Cabos MX CH'!$C$15:$J$20,2),(IF(J36="Quadruplex",VLOOKUP(M36,'Características dos Cabos MX CH'!$C$21:$K$27,2),(IF(J36="13",VLOOKUP(M36,'Características dos Cabos MX CH'!$C$15:$L$20,2),"")))))))</f>
        <v/>
      </c>
      <c r="V36" s="193" t="str">
        <f>IF(J36="Duplex",VLOOKUP(M36,'Características dos Cabos MX CH'!$C$12:$I$14,3),(IF(J36="Triplex",VLOOKUP(M36,'Características dos Cabos MX CH'!$C$15:$J$20,3),(IF(J36="Quadruplex",VLOOKUP(M36,'Características dos Cabos MX CH'!$C$21:$K$27,3),(IF(J36="13",VLOOKUP(M36,'Características dos Cabos MX CH'!$C$15:$L$20,3),"")))))))</f>
        <v/>
      </c>
      <c r="W36" s="195" t="str">
        <f t="shared" si="8"/>
        <v/>
      </c>
      <c r="X36" s="195" t="str">
        <f t="shared" si="9"/>
        <v/>
      </c>
      <c r="Y36" s="196" t="str">
        <f t="shared" si="10"/>
        <v/>
      </c>
      <c r="AA36" s="396">
        <f t="shared" si="3"/>
        <v>0</v>
      </c>
      <c r="AB36" s="396">
        <f t="shared" si="4"/>
        <v>0</v>
      </c>
      <c r="AC36" s="395">
        <f>SUM($N$33:N36)</f>
        <v>0</v>
      </c>
      <c r="AD36" s="401"/>
      <c r="AE36" s="357" t="str">
        <f t="shared" si="11"/>
        <v/>
      </c>
      <c r="AF36" s="426">
        <f t="shared" si="0"/>
        <v>0</v>
      </c>
      <c r="AG36" s="424"/>
      <c r="AH36" s="420"/>
    </row>
    <row r="37" spans="1:34" ht="15" customHeight="1">
      <c r="A37" s="650"/>
      <c r="B37" s="650"/>
      <c r="C37" s="562"/>
      <c r="D37" s="563"/>
      <c r="E37" s="362"/>
      <c r="F37" s="189" t="str">
        <f t="shared" si="1"/>
        <v/>
      </c>
      <c r="G37" s="380"/>
      <c r="H37" s="190" t="str">
        <f>IF(AND(E37="",G37=""),"",SUM(F37:$G$44))</f>
        <v/>
      </c>
      <c r="I37" s="191"/>
      <c r="J37" s="188"/>
      <c r="K37" s="188"/>
      <c r="L37" s="197" t="str">
        <f>IF(J37="Duplex",VLOOKUP(M37,'Características dos Cabos MX CH'!$C$12:$I$14,7),(IF(J37="Triplex",VLOOKUP(M37,'Características dos Cabos MX CH'!$C$15:$J$20,8),(IF(J37="Quadruplex",VLOOKUP(M37,'Características dos Cabos MX CH'!$C$21:$K$27,9),(IF(J37="13",VLOOKUP(M37,'Características dos Cabos MX CH'!$C$15:$L$20,10),"")))))))</f>
        <v/>
      </c>
      <c r="M37" s="350" t="str">
        <f t="shared" si="5"/>
        <v/>
      </c>
      <c r="N37" s="375"/>
      <c r="O37" s="192" t="str">
        <f t="shared" si="2"/>
        <v/>
      </c>
      <c r="P37" s="192" t="str">
        <f>IF(O37="","",SUM($O$33:O37))</f>
        <v/>
      </c>
      <c r="Q37" s="192" t="str">
        <f t="shared" si="6"/>
        <v/>
      </c>
      <c r="R37" s="193" t="str">
        <f>IF(J37="Duplex",VLOOKUP(M37,'Características dos Cabos MX CH'!$C$12:$I$14,5),(IF(J37="Triplex",VLOOKUP(M37,'Características dos Cabos MX CH'!$C$15:$J$20,5),(IF(J37="Quadruplex",VLOOKUP(M37,'Características dos Cabos MX CH'!$C$21:$K$27,5),(IF(J37="13",VLOOKUP(M37,'Características dos Cabos MX CH'!$C$15:$L$20,5),"")))))))</f>
        <v/>
      </c>
      <c r="S37" s="193" t="str">
        <f>IF(J37="Duplex",VLOOKUP(M37,'Características dos Cabos MX CH'!$C$12:$I$14,6),(IF(J37="Triplex",VLOOKUP(M37,'Características dos Cabos MX CH'!$C$15:$J$20,6),(IF(J37="Quadruplex",VLOOKUP(M37,'Características dos Cabos MX CH'!$C$21:$K$27,6),(IF(J37="13",VLOOKUP(M37,'Características dos Cabos MX CH'!$C$15:$L$20,6),"")))))))</f>
        <v/>
      </c>
      <c r="T37" s="194" t="str">
        <f t="shared" si="7"/>
        <v/>
      </c>
      <c r="U37" s="447" t="str">
        <f>IF(J37="Duplex",VLOOKUP(M37,'Características dos Cabos MX CH'!$C$12:$I$14,2),(IF(J37="Triplex",VLOOKUP(M37,'Características dos Cabos MX CH'!$C$15:$J$20,2),(IF(J37="Quadruplex",VLOOKUP(M37,'Características dos Cabos MX CH'!$C$21:$K$27,2),(IF(J37="13",VLOOKUP(M37,'Características dos Cabos MX CH'!$C$15:$L$20,2),"")))))))</f>
        <v/>
      </c>
      <c r="V37" s="193" t="str">
        <f>IF(J37="Duplex",VLOOKUP(M37,'Características dos Cabos MX CH'!$C$12:$I$14,3),(IF(J37="Triplex",VLOOKUP(M37,'Características dos Cabos MX CH'!$C$15:$J$20,3),(IF(J37="Quadruplex",VLOOKUP(M37,'Características dos Cabos MX CH'!$C$21:$K$27,3),(IF(J37="13",VLOOKUP(M37,'Características dos Cabos MX CH'!$C$15:$L$20,3),"")))))))</f>
        <v/>
      </c>
      <c r="W37" s="195" t="str">
        <f t="shared" si="8"/>
        <v/>
      </c>
      <c r="X37" s="195" t="str">
        <f t="shared" si="9"/>
        <v/>
      </c>
      <c r="Y37" s="196" t="str">
        <f t="shared" si="10"/>
        <v/>
      </c>
      <c r="AA37" s="396">
        <f t="shared" si="3"/>
        <v>0</v>
      </c>
      <c r="AB37" s="396">
        <f t="shared" si="4"/>
        <v>0</v>
      </c>
      <c r="AC37" s="395">
        <f>SUM($N$33:N37)</f>
        <v>0</v>
      </c>
      <c r="AD37" s="401"/>
      <c r="AE37" s="357" t="str">
        <f t="shared" si="11"/>
        <v/>
      </c>
      <c r="AF37" s="426">
        <f t="shared" si="0"/>
        <v>0</v>
      </c>
      <c r="AG37" s="424"/>
      <c r="AH37" s="420"/>
    </row>
    <row r="38" spans="1:34" ht="15" customHeight="1">
      <c r="A38" s="650"/>
      <c r="B38" s="650"/>
      <c r="C38" s="562"/>
      <c r="D38" s="563"/>
      <c r="E38" s="362"/>
      <c r="F38" s="189" t="str">
        <f t="shared" si="1"/>
        <v/>
      </c>
      <c r="G38" s="380"/>
      <c r="H38" s="190" t="str">
        <f>IF(AND(E38="",G38=""),"",SUM(F38:$G$44))</f>
        <v/>
      </c>
      <c r="I38" s="191"/>
      <c r="J38" s="188"/>
      <c r="K38" s="188"/>
      <c r="L38" s="197" t="str">
        <f>IF(J38="Duplex",VLOOKUP(M38,'Características dos Cabos MX CH'!$C$12:$I$14,7),(IF(J38="Triplex",VLOOKUP(M38,'Características dos Cabos MX CH'!$C$15:$J$20,8),(IF(J38="Quadruplex",VLOOKUP(M38,'Características dos Cabos MX CH'!$C$21:$K$27,9),(IF(J38="13",VLOOKUP(M38,'Características dos Cabos MX CH'!$C$15:$L$20,10),"")))))))</f>
        <v/>
      </c>
      <c r="M38" s="350" t="str">
        <f t="shared" si="5"/>
        <v/>
      </c>
      <c r="N38" s="375"/>
      <c r="O38" s="192" t="str">
        <f t="shared" si="2"/>
        <v/>
      </c>
      <c r="P38" s="192" t="str">
        <f>IF(O38="","",SUM($O$33:O38))</f>
        <v/>
      </c>
      <c r="Q38" s="192" t="str">
        <f t="shared" si="6"/>
        <v/>
      </c>
      <c r="R38" s="193" t="str">
        <f>IF(J38="Duplex",VLOOKUP(M38,'Características dos Cabos MX CH'!$C$12:$I$14,5),(IF(J38="Triplex",VLOOKUP(M38,'Características dos Cabos MX CH'!$C$15:$J$20,5),(IF(J38="Quadruplex",VLOOKUP(M38,'Características dos Cabos MX CH'!$C$21:$K$27,5),(IF(J38="13",VLOOKUP(M38,'Características dos Cabos MX CH'!$C$15:$L$20,5),"")))))))</f>
        <v/>
      </c>
      <c r="S38" s="193" t="str">
        <f>IF(J38="Duplex",VLOOKUP(M38,'Características dos Cabos MX CH'!$C$12:$I$14,6),(IF(J38="Triplex",VLOOKUP(M38,'Características dos Cabos MX CH'!$C$15:$J$20,6),(IF(J38="Quadruplex",VLOOKUP(M38,'Características dos Cabos MX CH'!$C$21:$K$27,6),(IF(J38="13",VLOOKUP(M38,'Características dos Cabos MX CH'!$C$15:$L$20,6),"")))))))</f>
        <v/>
      </c>
      <c r="T38" s="194" t="str">
        <f t="shared" si="7"/>
        <v/>
      </c>
      <c r="U38" s="447" t="str">
        <f>IF(J38="Duplex",VLOOKUP(M38,'Características dos Cabos MX CH'!$C$12:$I$14,2),(IF(J38="Triplex",VLOOKUP(M38,'Características dos Cabos MX CH'!$C$15:$J$20,2),(IF(J38="Quadruplex",VLOOKUP(M38,'Características dos Cabos MX CH'!$C$21:$K$27,2),(IF(J38="13",VLOOKUP(M38,'Características dos Cabos MX CH'!$C$15:$L$20,2),"")))))))</f>
        <v/>
      </c>
      <c r="V38" s="193" t="str">
        <f>IF(J38="Duplex",VLOOKUP(M38,'Características dos Cabos MX CH'!$C$12:$I$14,3),(IF(J38="Triplex",VLOOKUP(M38,'Características dos Cabos MX CH'!$C$15:$J$20,3),(IF(J38="Quadruplex",VLOOKUP(M38,'Características dos Cabos MX CH'!$C$21:$K$27,3),(IF(J38="13",VLOOKUP(M38,'Características dos Cabos MX CH'!$C$15:$L$20,3),"")))))))</f>
        <v/>
      </c>
      <c r="W38" s="195" t="str">
        <f t="shared" si="8"/>
        <v/>
      </c>
      <c r="X38" s="195" t="str">
        <f t="shared" si="9"/>
        <v/>
      </c>
      <c r="Y38" s="196" t="str">
        <f t="shared" si="10"/>
        <v/>
      </c>
      <c r="AA38" s="396">
        <f t="shared" si="3"/>
        <v>0</v>
      </c>
      <c r="AB38" s="396">
        <f t="shared" si="4"/>
        <v>0</v>
      </c>
      <c r="AC38" s="395">
        <f>SUM($N$33:N38)</f>
        <v>0</v>
      </c>
      <c r="AD38" s="401"/>
      <c r="AE38" s="357" t="str">
        <f t="shared" si="11"/>
        <v/>
      </c>
      <c r="AF38" s="426">
        <f t="shared" si="0"/>
        <v>0</v>
      </c>
      <c r="AG38" s="424"/>
      <c r="AH38" s="420"/>
    </row>
    <row r="39" spans="1:34" ht="15" customHeight="1">
      <c r="A39" s="650"/>
      <c r="B39" s="650"/>
      <c r="C39" s="562"/>
      <c r="D39" s="563"/>
      <c r="E39" s="362"/>
      <c r="F39" s="189" t="str">
        <f t="shared" si="1"/>
        <v/>
      </c>
      <c r="G39" s="380"/>
      <c r="H39" s="190" t="str">
        <f>IF(AND(E39="",G39=""),"",SUM(F39:$G$44))</f>
        <v/>
      </c>
      <c r="I39" s="191"/>
      <c r="J39" s="188"/>
      <c r="K39" s="188"/>
      <c r="L39" s="197" t="str">
        <f>IF(J39="Duplex",VLOOKUP(M39,'Características dos Cabos MX CH'!$C$12:$I$14,7),(IF(J39="Triplex",VLOOKUP(M39,'Características dos Cabos MX CH'!$C$15:$J$20,8),(IF(J39="Quadruplex",VLOOKUP(M39,'Características dos Cabos MX CH'!$C$21:$K$27,9),(IF(J39="13",VLOOKUP(M39,'Características dos Cabos MX CH'!$C$15:$L$20,10),"")))))))</f>
        <v/>
      </c>
      <c r="M39" s="350" t="str">
        <f t="shared" si="5"/>
        <v/>
      </c>
      <c r="N39" s="375"/>
      <c r="O39" s="192" t="str">
        <f t="shared" si="2"/>
        <v/>
      </c>
      <c r="P39" s="192" t="str">
        <f>IF(O39="","",SUM($O$33:O39))</f>
        <v/>
      </c>
      <c r="Q39" s="192" t="str">
        <f t="shared" si="6"/>
        <v/>
      </c>
      <c r="R39" s="193" t="str">
        <f>IF(J39="Duplex",VLOOKUP(M39,'Características dos Cabos MX CH'!$C$12:$I$14,5),(IF(J39="Triplex",VLOOKUP(M39,'Características dos Cabos MX CH'!$C$15:$J$20,5),(IF(J39="Quadruplex",VLOOKUP(M39,'Características dos Cabos MX CH'!$C$21:$K$27,5),(IF(J39="13",VLOOKUP(M39,'Características dos Cabos MX CH'!$C$15:$L$20,5),"")))))))</f>
        <v/>
      </c>
      <c r="S39" s="193" t="str">
        <f>IF(J39="Duplex",VLOOKUP(M39,'Características dos Cabos MX CH'!$C$12:$I$14,6),(IF(J39="Triplex",VLOOKUP(M39,'Características dos Cabos MX CH'!$C$15:$J$20,6),(IF(J39="Quadruplex",VLOOKUP(M39,'Características dos Cabos MX CH'!$C$21:$K$27,6),(IF(J39="13",VLOOKUP(M39,'Características dos Cabos MX CH'!$C$15:$L$20,6),"")))))))</f>
        <v/>
      </c>
      <c r="T39" s="194" t="str">
        <f t="shared" si="7"/>
        <v/>
      </c>
      <c r="U39" s="447" t="str">
        <f>IF(J39="Duplex",VLOOKUP(M39,'Características dos Cabos MX CH'!$C$12:$I$14,2),(IF(J39="Triplex",VLOOKUP(M39,'Características dos Cabos MX CH'!$C$15:$J$20,2),(IF(J39="Quadruplex",VLOOKUP(M39,'Características dos Cabos MX CH'!$C$21:$K$27,2),(IF(J39="13",VLOOKUP(M39,'Características dos Cabos MX CH'!$C$15:$L$20,2),"")))))))</f>
        <v/>
      </c>
      <c r="V39" s="193" t="str">
        <f>IF(J39="Duplex",VLOOKUP(M39,'Características dos Cabos MX CH'!$C$12:$I$14,3),(IF(J39="Triplex",VLOOKUP(M39,'Características dos Cabos MX CH'!$C$15:$J$20,3),(IF(J39="Quadruplex",VLOOKUP(M39,'Características dos Cabos MX CH'!$C$21:$K$27,3),(IF(J39="13",VLOOKUP(M39,'Características dos Cabos MX CH'!$C$15:$L$20,3),"")))))))</f>
        <v/>
      </c>
      <c r="W39" s="195" t="str">
        <f t="shared" si="8"/>
        <v/>
      </c>
      <c r="X39" s="195" t="str">
        <f t="shared" si="9"/>
        <v/>
      </c>
      <c r="Y39" s="196" t="str">
        <f t="shared" si="10"/>
        <v/>
      </c>
      <c r="AA39" s="396">
        <f t="shared" si="3"/>
        <v>0</v>
      </c>
      <c r="AB39" s="396">
        <f t="shared" si="4"/>
        <v>0</v>
      </c>
      <c r="AC39" s="395">
        <f>SUM($N$33:N39)</f>
        <v>0</v>
      </c>
      <c r="AD39" s="401"/>
      <c r="AE39" s="357" t="str">
        <f t="shared" si="11"/>
        <v/>
      </c>
      <c r="AF39" s="426">
        <f t="shared" si="0"/>
        <v>0</v>
      </c>
      <c r="AG39" s="424"/>
      <c r="AH39" s="420"/>
    </row>
    <row r="40" spans="1:34" ht="15" customHeight="1">
      <c r="A40" s="650"/>
      <c r="B40" s="650"/>
      <c r="C40" s="562"/>
      <c r="D40" s="563"/>
      <c r="E40" s="362"/>
      <c r="F40" s="189" t="str">
        <f t="shared" si="1"/>
        <v/>
      </c>
      <c r="G40" s="380"/>
      <c r="H40" s="190" t="str">
        <f>IF(AND(E40="",G40=""),"",SUM(F40:$G$44))</f>
        <v/>
      </c>
      <c r="I40" s="191"/>
      <c r="J40" s="188"/>
      <c r="K40" s="188"/>
      <c r="L40" s="197" t="str">
        <f>IF(J40="Duplex",VLOOKUP(M40,'Características dos Cabos MX CH'!$C$12:$I$14,7),(IF(J40="Triplex",VLOOKUP(M40,'Características dos Cabos MX CH'!$C$15:$J$20,8),(IF(J40="Quadruplex",VLOOKUP(M40,'Características dos Cabos MX CH'!$C$21:$K$27,9),(IF(J40="13",VLOOKUP(M40,'Características dos Cabos MX CH'!$C$15:$L$20,10),"")))))))</f>
        <v/>
      </c>
      <c r="M40" s="350" t="str">
        <f t="shared" si="5"/>
        <v/>
      </c>
      <c r="N40" s="375"/>
      <c r="O40" s="192" t="str">
        <f t="shared" si="2"/>
        <v/>
      </c>
      <c r="P40" s="192" t="str">
        <f>IF(O40="","",SUM($O$33:O40))</f>
        <v/>
      </c>
      <c r="Q40" s="192" t="str">
        <f t="shared" si="6"/>
        <v/>
      </c>
      <c r="R40" s="193" t="str">
        <f>IF(J40="Duplex",VLOOKUP(M40,'Características dos Cabos MX CH'!$C$12:$I$14,5),(IF(J40="Triplex",VLOOKUP(M40,'Características dos Cabos MX CH'!$C$15:$J$20,5),(IF(J40="Quadruplex",VLOOKUP(M40,'Características dos Cabos MX CH'!$C$21:$K$27,5),(IF(J40="13",VLOOKUP(M40,'Características dos Cabos MX CH'!$C$15:$L$20,5),"")))))))</f>
        <v/>
      </c>
      <c r="S40" s="193" t="str">
        <f>IF(J40="Duplex",VLOOKUP(M40,'Características dos Cabos MX CH'!$C$12:$I$14,6),(IF(J40="Triplex",VLOOKUP(M40,'Características dos Cabos MX CH'!$C$15:$J$20,6),(IF(J40="Quadruplex",VLOOKUP(M40,'Características dos Cabos MX CH'!$C$21:$K$27,6),(IF(J40="13",VLOOKUP(M40,'Características dos Cabos MX CH'!$C$15:$L$20,6),"")))))))</f>
        <v/>
      </c>
      <c r="T40" s="194" t="str">
        <f t="shared" si="7"/>
        <v/>
      </c>
      <c r="U40" s="447" t="str">
        <f>IF(J40="Duplex",VLOOKUP(M40,'Características dos Cabos MX CH'!$C$12:$I$14,2),(IF(J40="Triplex",VLOOKUP(M40,'Características dos Cabos MX CH'!$C$15:$J$20,2),(IF(J40="Quadruplex",VLOOKUP(M40,'Características dos Cabos MX CH'!$C$21:$K$27,2),(IF(J40="13",VLOOKUP(M40,'Características dos Cabos MX CH'!$C$15:$L$20,2),"")))))))</f>
        <v/>
      </c>
      <c r="V40" s="193" t="str">
        <f>IF(J40="Duplex",VLOOKUP(M40,'Características dos Cabos MX CH'!$C$12:$I$14,3),(IF(J40="Triplex",VLOOKUP(M40,'Características dos Cabos MX CH'!$C$15:$J$20,3),(IF(J40="Quadruplex",VLOOKUP(M40,'Características dos Cabos MX CH'!$C$21:$K$27,3),(IF(J40="13",VLOOKUP(M40,'Características dos Cabos MX CH'!$C$15:$L$20,3),"")))))))</f>
        <v/>
      </c>
      <c r="W40" s="195" t="str">
        <f t="shared" si="8"/>
        <v/>
      </c>
      <c r="X40" s="195" t="str">
        <f t="shared" si="9"/>
        <v/>
      </c>
      <c r="Y40" s="196" t="str">
        <f t="shared" si="10"/>
        <v/>
      </c>
      <c r="AA40" s="396">
        <f t="shared" si="3"/>
        <v>0</v>
      </c>
      <c r="AB40" s="396">
        <f t="shared" si="4"/>
        <v>0</v>
      </c>
      <c r="AC40" s="395">
        <f>SUM($N$33:N40)</f>
        <v>0</v>
      </c>
      <c r="AD40" s="401"/>
      <c r="AE40" s="357" t="str">
        <f t="shared" si="11"/>
        <v/>
      </c>
      <c r="AF40" s="426">
        <f t="shared" si="0"/>
        <v>0</v>
      </c>
      <c r="AG40" s="424"/>
      <c r="AH40" s="420"/>
    </row>
    <row r="41" spans="1:34" ht="15" customHeight="1">
      <c r="A41" s="650"/>
      <c r="B41" s="650"/>
      <c r="C41" s="562"/>
      <c r="D41" s="563"/>
      <c r="E41" s="362"/>
      <c r="F41" s="189" t="str">
        <f t="shared" si="1"/>
        <v/>
      </c>
      <c r="G41" s="380"/>
      <c r="H41" s="190" t="str">
        <f>IF(AND(E41="",G41=""),"",SUM(F41:$G$44))</f>
        <v/>
      </c>
      <c r="I41" s="191"/>
      <c r="J41" s="188"/>
      <c r="K41" s="188"/>
      <c r="L41" s="197" t="str">
        <f>IF(J41="Duplex",VLOOKUP(M41,'Características dos Cabos MX CH'!$C$12:$I$14,7),(IF(J41="Triplex",VLOOKUP(M41,'Características dos Cabos MX CH'!$C$15:$J$20,8),(IF(J41="Quadruplex",VLOOKUP(M41,'Características dos Cabos MX CH'!$C$21:$K$27,9),(IF(J41="13",VLOOKUP(M41,'Características dos Cabos MX CH'!$C$15:$L$20,10),"")))))))</f>
        <v/>
      </c>
      <c r="M41" s="350" t="str">
        <f t="shared" si="5"/>
        <v/>
      </c>
      <c r="N41" s="375"/>
      <c r="O41" s="192" t="str">
        <f t="shared" si="2"/>
        <v/>
      </c>
      <c r="P41" s="192" t="str">
        <f>IF(O41="","",SUM($O$33:O41))</f>
        <v/>
      </c>
      <c r="Q41" s="192" t="str">
        <f t="shared" si="6"/>
        <v/>
      </c>
      <c r="R41" s="193" t="str">
        <f>IF(J41="Duplex",VLOOKUP(M41,'Características dos Cabos MX CH'!$C$12:$I$14,5),(IF(J41="Triplex",VLOOKUP(M41,'Características dos Cabos MX CH'!$C$15:$J$20,5),(IF(J41="Quadruplex",VLOOKUP(M41,'Características dos Cabos MX CH'!$C$21:$K$27,5),(IF(J41="13",VLOOKUP(M41,'Características dos Cabos MX CH'!$C$15:$L$20,5),"")))))))</f>
        <v/>
      </c>
      <c r="S41" s="193" t="str">
        <f>IF(J41="Duplex",VLOOKUP(M41,'Características dos Cabos MX CH'!$C$12:$I$14,6),(IF(J41="Triplex",VLOOKUP(M41,'Características dos Cabos MX CH'!$C$15:$J$20,6),(IF(J41="Quadruplex",VLOOKUP(M41,'Características dos Cabos MX CH'!$C$21:$K$27,6),(IF(J41="13",VLOOKUP(M41,'Características dos Cabos MX CH'!$C$15:$L$20,6),"")))))))</f>
        <v/>
      </c>
      <c r="T41" s="194" t="str">
        <f t="shared" si="7"/>
        <v/>
      </c>
      <c r="U41" s="447" t="str">
        <f>IF(J41="Duplex",VLOOKUP(M41,'Características dos Cabos MX CH'!$C$12:$I$14,2),(IF(J41="Triplex",VLOOKUP(M41,'Características dos Cabos MX CH'!$C$15:$J$20,2),(IF(J41="Quadruplex",VLOOKUP(M41,'Características dos Cabos MX CH'!$C$21:$K$27,2),(IF(J41="13",VLOOKUP(M41,'Características dos Cabos MX CH'!$C$15:$L$20,2),"")))))))</f>
        <v/>
      </c>
      <c r="V41" s="193" t="str">
        <f>IF(J41="Duplex",VLOOKUP(M41,'Características dos Cabos MX CH'!$C$12:$I$14,3),(IF(J41="Triplex",VLOOKUP(M41,'Características dos Cabos MX CH'!$C$15:$J$20,3),(IF(J41="Quadruplex",VLOOKUP(M41,'Características dos Cabos MX CH'!$C$21:$K$27,3),(IF(J41="13",VLOOKUP(M41,'Características dos Cabos MX CH'!$C$15:$L$20,3),"")))))))</f>
        <v/>
      </c>
      <c r="W41" s="195" t="str">
        <f t="shared" si="8"/>
        <v/>
      </c>
      <c r="X41" s="195" t="str">
        <f t="shared" si="9"/>
        <v/>
      </c>
      <c r="Y41" s="196" t="str">
        <f t="shared" si="10"/>
        <v/>
      </c>
      <c r="AA41" s="396">
        <f t="shared" si="3"/>
        <v>0</v>
      </c>
      <c r="AB41" s="396">
        <f t="shared" si="4"/>
        <v>0</v>
      </c>
      <c r="AC41" s="395">
        <f>SUM($N$33:N41)</f>
        <v>0</v>
      </c>
      <c r="AD41" s="401"/>
      <c r="AE41" s="357" t="str">
        <f t="shared" si="11"/>
        <v/>
      </c>
      <c r="AF41" s="426">
        <f t="shared" si="0"/>
        <v>0</v>
      </c>
      <c r="AG41" s="424"/>
      <c r="AH41" s="420"/>
    </row>
    <row r="42" spans="1:34" ht="15" customHeight="1">
      <c r="A42" s="650"/>
      <c r="B42" s="650"/>
      <c r="C42" s="562"/>
      <c r="D42" s="563"/>
      <c r="E42" s="362"/>
      <c r="F42" s="189" t="str">
        <f t="shared" si="1"/>
        <v/>
      </c>
      <c r="G42" s="380"/>
      <c r="H42" s="190" t="str">
        <f>IF(AND(E42="",G42=""),"",SUM(F42:$G$44))</f>
        <v/>
      </c>
      <c r="I42" s="191"/>
      <c r="J42" s="188"/>
      <c r="K42" s="188"/>
      <c r="L42" s="197" t="str">
        <f>IF(J42="Duplex",VLOOKUP(M42,'Características dos Cabos MX CH'!$C$12:$I$14,7),(IF(J42="Triplex",VLOOKUP(M42,'Características dos Cabos MX CH'!$C$15:$J$20,8),(IF(J42="Quadruplex",VLOOKUP(M42,'Características dos Cabos MX CH'!$C$21:$K$27,9),(IF(J42="13",VLOOKUP(M42,'Características dos Cabos MX CH'!$C$15:$L$20,10),"")))))))</f>
        <v/>
      </c>
      <c r="M42" s="350" t="str">
        <f t="shared" si="5"/>
        <v/>
      </c>
      <c r="N42" s="375"/>
      <c r="O42" s="192" t="str">
        <f t="shared" si="2"/>
        <v/>
      </c>
      <c r="P42" s="192" t="str">
        <f>IF(O42="","",SUM($O$33:O42))</f>
        <v/>
      </c>
      <c r="Q42" s="192" t="str">
        <f t="shared" si="6"/>
        <v/>
      </c>
      <c r="R42" s="193" t="str">
        <f>IF(J42="Duplex",VLOOKUP(M42,'Características dos Cabos MX CH'!$C$12:$I$14,5),(IF(J42="Triplex",VLOOKUP(M42,'Características dos Cabos MX CH'!$C$15:$J$20,5),(IF(J42="Quadruplex",VLOOKUP(M42,'Características dos Cabos MX CH'!$C$21:$K$27,5),(IF(J42="13",VLOOKUP(M42,'Características dos Cabos MX CH'!$C$15:$L$20,5),"")))))))</f>
        <v/>
      </c>
      <c r="S42" s="193" t="str">
        <f>IF(J42="Duplex",VLOOKUP(M42,'Características dos Cabos MX CH'!$C$12:$I$14,6),(IF(J42="Triplex",VLOOKUP(M42,'Características dos Cabos MX CH'!$C$15:$J$20,6),(IF(J42="Quadruplex",VLOOKUP(M42,'Características dos Cabos MX CH'!$C$21:$K$27,6),(IF(J42="13",VLOOKUP(M42,'Características dos Cabos MX CH'!$C$15:$L$20,6),"")))))))</f>
        <v/>
      </c>
      <c r="T42" s="194" t="str">
        <f t="shared" si="7"/>
        <v/>
      </c>
      <c r="U42" s="447" t="str">
        <f>IF(J42="Duplex",VLOOKUP(M42,'Características dos Cabos MX CH'!$C$12:$I$14,2),(IF(J42="Triplex",VLOOKUP(M42,'Características dos Cabos MX CH'!$C$15:$J$20,2),(IF(J42="Quadruplex",VLOOKUP(M42,'Características dos Cabos MX CH'!$C$21:$K$27,2),(IF(J42="13",VLOOKUP(M42,'Características dos Cabos MX CH'!$C$15:$L$20,2),"")))))))</f>
        <v/>
      </c>
      <c r="V42" s="193" t="str">
        <f>IF(J42="Duplex",VLOOKUP(M42,'Características dos Cabos MX CH'!$C$12:$I$14,3),(IF(J42="Triplex",VLOOKUP(M42,'Características dos Cabos MX CH'!$C$15:$J$20,3),(IF(J42="Quadruplex",VLOOKUP(M42,'Características dos Cabos MX CH'!$C$21:$K$27,3),(IF(J42="13",VLOOKUP(M42,'Características dos Cabos MX CH'!$C$15:$L$20,3),"")))))))</f>
        <v/>
      </c>
      <c r="W42" s="195" t="str">
        <f t="shared" si="8"/>
        <v/>
      </c>
      <c r="X42" s="195" t="str">
        <f t="shared" si="9"/>
        <v/>
      </c>
      <c r="Y42" s="196" t="str">
        <f t="shared" si="10"/>
        <v/>
      </c>
      <c r="AA42" s="396">
        <f t="shared" si="3"/>
        <v>0</v>
      </c>
      <c r="AB42" s="396">
        <f t="shared" si="4"/>
        <v>0</v>
      </c>
      <c r="AC42" s="395">
        <f>SUM($N$33:N42)</f>
        <v>0</v>
      </c>
      <c r="AD42" s="401"/>
      <c r="AE42" s="357" t="str">
        <f t="shared" si="11"/>
        <v/>
      </c>
      <c r="AF42" s="426">
        <f t="shared" si="0"/>
        <v>0</v>
      </c>
      <c r="AG42" s="424"/>
      <c r="AH42" s="420"/>
    </row>
    <row r="43" spans="1:34" ht="15" customHeight="1">
      <c r="A43" s="650"/>
      <c r="B43" s="650"/>
      <c r="C43" s="562"/>
      <c r="D43" s="563"/>
      <c r="E43" s="362"/>
      <c r="F43" s="189" t="str">
        <f t="shared" si="1"/>
        <v/>
      </c>
      <c r="G43" s="380"/>
      <c r="H43" s="190" t="str">
        <f>IF(AND(E43="",G43=""),"",SUM(F43:$G$44))</f>
        <v/>
      </c>
      <c r="I43" s="191"/>
      <c r="J43" s="188"/>
      <c r="K43" s="188"/>
      <c r="L43" s="197" t="str">
        <f>IF(J43="Duplex",VLOOKUP(M43,'Características dos Cabos MX CH'!$C$12:$I$14,7),(IF(J43="Triplex",VLOOKUP(M43,'Características dos Cabos MX CH'!$C$15:$J$20,8),(IF(J43="Quadruplex",VLOOKUP(M43,'Características dos Cabos MX CH'!$C$21:$K$27,9),(IF(J43="13",VLOOKUP(M43,'Características dos Cabos MX CH'!$C$15:$L$20,10),"")))))))</f>
        <v/>
      </c>
      <c r="M43" s="350" t="str">
        <f t="shared" si="5"/>
        <v/>
      </c>
      <c r="N43" s="375"/>
      <c r="O43" s="192" t="str">
        <f t="shared" si="2"/>
        <v/>
      </c>
      <c r="P43" s="192" t="str">
        <f>IF(O43="","",SUM($O$33:O43))</f>
        <v/>
      </c>
      <c r="Q43" s="192" t="str">
        <f t="shared" si="6"/>
        <v/>
      </c>
      <c r="R43" s="193" t="str">
        <f>IF(J43="Duplex",VLOOKUP(M43,'Características dos Cabos MX CH'!$C$12:$I$14,5),(IF(J43="Triplex",VLOOKUP(M43,'Características dos Cabos MX CH'!$C$15:$J$20,5),(IF(J43="Quadruplex",VLOOKUP(M43,'Características dos Cabos MX CH'!$C$21:$K$27,5),(IF(J43="13",VLOOKUP(M43,'Características dos Cabos MX CH'!$C$15:$L$20,5),"")))))))</f>
        <v/>
      </c>
      <c r="S43" s="193" t="str">
        <f>IF(J43="Duplex",VLOOKUP(M43,'Características dos Cabos MX CH'!$C$12:$I$14,6),(IF(J43="Triplex",VLOOKUP(M43,'Características dos Cabos MX CH'!$C$15:$J$20,6),(IF(J43="Quadruplex",VLOOKUP(M43,'Características dos Cabos MX CH'!$C$21:$K$27,6),(IF(J43="13",VLOOKUP(M43,'Características dos Cabos MX CH'!$C$15:$L$20,6),"")))))))</f>
        <v/>
      </c>
      <c r="T43" s="194" t="str">
        <f t="shared" si="7"/>
        <v/>
      </c>
      <c r="U43" s="447" t="str">
        <f>IF(J43="Duplex",VLOOKUP(M43,'Características dos Cabos MX CH'!$C$12:$I$14,2),(IF(J43="Triplex",VLOOKUP(M43,'Características dos Cabos MX CH'!$C$15:$J$20,2),(IF(J43="Quadruplex",VLOOKUP(M43,'Características dos Cabos MX CH'!$C$21:$K$27,2),(IF(J43="13",VLOOKUP(M43,'Características dos Cabos MX CH'!$C$15:$L$20,2),"")))))))</f>
        <v/>
      </c>
      <c r="V43" s="193" t="str">
        <f>IF(J43="Duplex",VLOOKUP(M43,'Características dos Cabos MX CH'!$C$12:$I$14,3),(IF(J43="Triplex",VLOOKUP(M43,'Características dos Cabos MX CH'!$C$15:$J$20,3),(IF(J43="Quadruplex",VLOOKUP(M43,'Características dos Cabos MX CH'!$C$21:$K$27,3),(IF(J43="13",VLOOKUP(M43,'Características dos Cabos MX CH'!$C$15:$L$20,3),"")))))))</f>
        <v/>
      </c>
      <c r="W43" s="195" t="str">
        <f t="shared" si="8"/>
        <v/>
      </c>
      <c r="X43" s="195" t="str">
        <f t="shared" si="9"/>
        <v/>
      </c>
      <c r="Y43" s="196" t="str">
        <f t="shared" si="10"/>
        <v/>
      </c>
      <c r="AA43" s="396">
        <f t="shared" si="3"/>
        <v>0</v>
      </c>
      <c r="AB43" s="396">
        <f t="shared" si="4"/>
        <v>0</v>
      </c>
      <c r="AC43" s="395">
        <f>SUM($N$33:N43)</f>
        <v>0</v>
      </c>
      <c r="AD43" s="401"/>
      <c r="AE43" s="357" t="str">
        <f t="shared" si="11"/>
        <v/>
      </c>
      <c r="AF43" s="426">
        <f t="shared" si="0"/>
        <v>0</v>
      </c>
      <c r="AG43" s="424"/>
      <c r="AH43" s="420"/>
    </row>
    <row r="44" spans="1:34" ht="15" customHeight="1" thickBot="1">
      <c r="A44" s="651"/>
      <c r="B44" s="651"/>
      <c r="C44" s="360"/>
      <c r="D44" s="364"/>
      <c r="E44" s="365"/>
      <c r="F44" s="189" t="str">
        <f t="shared" si="1"/>
        <v/>
      </c>
      <c r="G44" s="383"/>
      <c r="H44" s="200" t="str">
        <f>IF(AND(E44="",G44=""),"",SUM(F44:$G$44))</f>
        <v/>
      </c>
      <c r="I44" s="201"/>
      <c r="J44" s="198"/>
      <c r="K44" s="198"/>
      <c r="L44" s="202" t="str">
        <f>IF(J44="Duplex",VLOOKUP(M44,'Características dos Cabos MX CH'!$C$12:$I$14,7),(IF(J44="Triplex",VLOOKUP(M44,'Características dos Cabos MX CH'!$C$15:$J$20,8),(IF(J44="Quadruplex",VLOOKUP(M44,'Características dos Cabos MX CH'!$C$21:$K$27,9),(IF(J44="13",VLOOKUP(M44,'Características dos Cabos MX CH'!$C$15:$L$20,10),"")))))))</f>
        <v/>
      </c>
      <c r="M44" s="353" t="str">
        <f t="shared" si="5"/>
        <v/>
      </c>
      <c r="N44" s="376"/>
      <c r="O44" s="203" t="str">
        <f t="shared" si="2"/>
        <v/>
      </c>
      <c r="P44" s="203" t="str">
        <f>IF(O44="","",SUM($O$33:O44))</f>
        <v/>
      </c>
      <c r="Q44" s="203" t="str">
        <f t="shared" si="6"/>
        <v/>
      </c>
      <c r="R44" s="204" t="str">
        <f>IF(J44="Duplex",VLOOKUP(M44,'Características dos Cabos MX CH'!$C$12:$I$14,5),(IF(J44="Triplex",VLOOKUP(M44,'Características dos Cabos MX CH'!$C$15:$J$20,5),(IF(J44="Quadruplex",VLOOKUP(M44,'Características dos Cabos MX CH'!$C$21:$K$27,5),(IF(J44="13",VLOOKUP(M44,'Características dos Cabos MX CH'!$C$15:$L$20,5),"")))))))</f>
        <v/>
      </c>
      <c r="S44" s="204" t="str">
        <f>IF(J44="Duplex",VLOOKUP(M44,'Características dos Cabos MX CH'!$C$12:$I$14,6),(IF(J44="Triplex",VLOOKUP(M44,'Características dos Cabos MX CH'!$C$15:$J$20,6),(IF(J44="Quadruplex",VLOOKUP(M44,'Características dos Cabos MX CH'!$C$21:$K$27,6),(IF(J44="13",VLOOKUP(M44,'Características dos Cabos MX CH'!$C$15:$L$20,6),"")))))))</f>
        <v/>
      </c>
      <c r="T44" s="205" t="str">
        <f t="shared" si="7"/>
        <v/>
      </c>
      <c r="U44" s="448" t="str">
        <f>IF(J44="Duplex",VLOOKUP(M44,'Características dos Cabos MX CH'!$C$12:$I$14,2),(IF(J44="Triplex",VLOOKUP(M44,'Características dos Cabos MX CH'!$C$15:$J$20,2),(IF(J44="Quadruplex",VLOOKUP(M44,'Características dos Cabos MX CH'!$C$21:$K$27,2),(IF(J44="13",VLOOKUP(M44,'Características dos Cabos MX CH'!$C$15:$L$20,2),"")))))))</f>
        <v/>
      </c>
      <c r="V44" s="204" t="str">
        <f>IF(J44="Duplex",VLOOKUP(M44,'Características dos Cabos MX CH'!$C$12:$I$14,3),(IF(J44="Triplex",VLOOKUP(M44,'Características dos Cabos MX CH'!$C$15:$J$20,3),(IF(J44="Quadruplex",VLOOKUP(M44,'Características dos Cabos MX CH'!$C$21:$K$27,3),(IF(J44="13",VLOOKUP(M44,'Características dos Cabos MX CH'!$C$15:$L$20,3),"")))))))</f>
        <v/>
      </c>
      <c r="W44" s="206" t="str">
        <f t="shared" si="8"/>
        <v/>
      </c>
      <c r="X44" s="206" t="str">
        <f t="shared" si="9"/>
        <v/>
      </c>
      <c r="Y44" s="207" t="str">
        <f t="shared" si="10"/>
        <v/>
      </c>
      <c r="AA44" s="396">
        <f t="shared" si="3"/>
        <v>0</v>
      </c>
      <c r="AB44" s="396">
        <f t="shared" si="4"/>
        <v>0</v>
      </c>
      <c r="AC44" s="395">
        <f>SUM($N$33:N44)</f>
        <v>0</v>
      </c>
      <c r="AD44" s="401"/>
      <c r="AE44" s="357" t="str">
        <f t="shared" si="11"/>
        <v/>
      </c>
      <c r="AF44" s="426">
        <f t="shared" si="0"/>
        <v>0</v>
      </c>
      <c r="AG44" s="424"/>
      <c r="AH44" s="420"/>
    </row>
    <row r="45" spans="1:34" ht="20.25" customHeight="1" thickTop="1" thickBot="1">
      <c r="A45" s="2"/>
      <c r="B45" s="574"/>
      <c r="C45" s="575"/>
      <c r="D45" s="575"/>
      <c r="E45" s="576"/>
      <c r="F45" s="199"/>
      <c r="G45" s="576"/>
      <c r="H45" s="576"/>
      <c r="I45" s="576"/>
      <c r="J45" s="576"/>
      <c r="K45" s="576"/>
      <c r="L45" s="576"/>
      <c r="M45" s="577" t="str">
        <f t="shared" si="12" ref="M45">IF(K45="10","a",IF(K45="16","b",IF(K45="25","c",IF(K45="35","d",IF(K45="50","e",(IF(K45="70","f",(IF(K45="120","g","")))))))))</f>
        <v/>
      </c>
      <c r="N45" s="577"/>
      <c r="O45" s="578"/>
      <c r="P45" s="578"/>
      <c r="Q45" s="578"/>
      <c r="R45" s="576"/>
      <c r="S45" s="576"/>
      <c r="T45" s="576" t="str">
        <f t="shared" si="13" ref="T45:T108">IF(OR(Q45="",R45="",S45=""),"",IF(OR($L$11="PE",$L$11="pe"),Q45/R45,IF(OR($L$11="XLPE",$L$11="xlpe"),Q45/S45,"")))</f>
        <v/>
      </c>
      <c r="U45" s="576"/>
      <c r="V45" s="576"/>
      <c r="W45" s="579"/>
      <c r="X45" s="579"/>
      <c r="Y45" s="580" t="str">
        <f t="shared" si="14" ref="Y45">IF(OR(V45="",W45="",X45=""),"",IF(OR($L$11="PE",$L$11="pe"),W45,IF(OR($L$11="XLPE",$L$11="xlpe"),X45,"")))</f>
        <v/>
      </c>
      <c r="AD45" s="401"/>
      <c r="AE45" s="357" t="str">
        <f t="shared" si="11"/>
        <v/>
      </c>
      <c r="AF45" s="426">
        <f t="shared" si="15" ref="AF45:AF108">G45</f>
        <v>0</v>
      </c>
      <c r="AG45" s="424"/>
      <c r="AH45" s="420"/>
    </row>
    <row r="46" spans="1:34" ht="15" customHeight="1" thickTop="1">
      <c r="A46" s="695" t="s">
        <v>96</v>
      </c>
      <c r="B46" s="698" t="str">
        <f>CONCATENATE("Ramal 1 - Derivando no ponto ",C46)</f>
        <v xml:space="preserve">Ramal 1 - Derivando no ponto </v>
      </c>
      <c r="C46" s="565"/>
      <c r="D46" s="566"/>
      <c r="E46" s="549"/>
      <c r="F46" s="208" t="str">
        <f t="shared" si="16" ref="F46:F54">IF(OR(E46="",$G$11=""),"",E46*$G$11*($J$11/100+1)^($J$15-1))</f>
        <v/>
      </c>
      <c r="G46" s="456"/>
      <c r="H46" s="209" t="str">
        <f>IF(AND(E46="",G46=""),"",SUM(F46:G54))</f>
        <v/>
      </c>
      <c r="I46" s="210"/>
      <c r="J46" s="551"/>
      <c r="K46" s="551"/>
      <c r="L46" s="211" t="str">
        <f>IF(J46="Duplex",VLOOKUP(M46,'Características dos Cabos MX CH'!$C$12:$I$14,7),(IF(J46="Triplex",VLOOKUP(M46,'Características dos Cabos MX CH'!$C$15:$J$20,8),(IF(J46="Quadruplex",VLOOKUP(M46,'Características dos Cabos MX CH'!$C$21:$K$27,9),(IF(J46="13",VLOOKUP(M46,'Características dos Cabos MX CH'!$C$15:$L$20,10),"")))))))</f>
        <v/>
      </c>
      <c r="M46" s="354" t="str">
        <f t="shared" si="5"/>
        <v/>
      </c>
      <c r="N46" s="552"/>
      <c r="O46" s="212" t="str">
        <f t="shared" si="17" ref="O46:O109">IF(OR(N46="",L46="",H46=""),"",N46*L46*H46)</f>
        <v/>
      </c>
      <c r="P46" s="212" t="str">
        <f>IF(O46="","",O46+VLOOKUP(C46,$D$20:$Q$44,13,FALSE))</f>
        <v/>
      </c>
      <c r="Q46" s="212" t="str">
        <f t="shared" si="6"/>
        <v/>
      </c>
      <c r="R46" s="213" t="str">
        <f>IF(J46="Duplex",VLOOKUP(M46,'Características dos Cabos MX CH'!$C$12:$I$14,5),(IF(J46="Triplex",VLOOKUP(M46,'Características dos Cabos MX CH'!$C$15:$J$20,5),(IF(J46="Quadruplex",VLOOKUP(M46,'Características dos Cabos MX CH'!$C$21:$K$27,5),(IF(J46="13",VLOOKUP(M46,'Características dos Cabos MX CH'!$C$15:$L$20,5),"")))))))</f>
        <v/>
      </c>
      <c r="S46" s="213" t="str">
        <f>IF(J46="Duplex",VLOOKUP(M46,'Características dos Cabos MX CH'!$C$12:$I$14,6),(IF(J46="Triplex",VLOOKUP(M46,'Características dos Cabos MX CH'!$C$15:$J$20,6),(IF(J46="Quadruplex",VLOOKUP(M46,'Características dos Cabos MX CH'!$C$21:$K$27,6),(IF(J46="13",VLOOKUP(M46,'Características dos Cabos MX CH'!$C$15:$L$20,6),"")))))))</f>
        <v/>
      </c>
      <c r="T46" s="553" t="str">
        <f t="shared" si="13"/>
        <v/>
      </c>
      <c r="U46" s="450" t="str">
        <f>IF(J46="Duplex",VLOOKUP(M46,'Características dos Cabos MX CH'!$C$12:$I$14,2),(IF(J46="Triplex",VLOOKUP(M46,'Características dos Cabos MX CH'!$C$15:$J$20,2),(IF(J46="Quadruplex",VLOOKUP(M46,'Características dos Cabos MX CH'!$C$21:$K$27,2),(IF(J46="13",VLOOKUP(M46,'Características dos Cabos MX CH'!$C$15:$L$20,2),"")))))))</f>
        <v/>
      </c>
      <c r="V46" s="213" t="str">
        <f>IF(J46="Duplex",VLOOKUP(M46,'Características dos Cabos MX CH'!$C$12:$I$14,3),(IF(J46="Triplex",VLOOKUP(M46,'Características dos Cabos MX CH'!$C$15:$J$20,3),(IF(J46="Quadruplex",VLOOKUP(M46,'Características dos Cabos MX CH'!$C$21:$K$27,3),(IF(J46="13",VLOOKUP(M46,'Características dos Cabos MX CH'!$C$15:$L$20,3),"")))))))</f>
        <v/>
      </c>
      <c r="W46" s="215" t="str">
        <f t="shared" si="18" ref="W46:W109">IF(OR(O46="",$G$15="",H46="",N46=""),"",IF(J46="Quadruplex",3*$L$13*U46*O46/1000*R46^2*8.76,IF(J46="Triplex",2*$L$13*U46*O46/1000*R46^2*8.76,IF(J46="Duplex",$L$13*U46*O46/1000*R46^2*8.76))))</f>
        <v/>
      </c>
      <c r="X46" s="215" t="str">
        <f t="shared" si="19" ref="X46:X109">IF(OR(O46="",$G$15="",H46="",N46=""),"",IF(J46="Quadruplex",3*$L$13*V46*O46/1000*R46^2*8.76,IF(J46="triplex",2*$L$13*V46*O46/1000*R46^2*8.76,IF(J46="Duplex",$L$13*V46*O46/1000*R46^2*8.76))))</f>
        <v/>
      </c>
      <c r="Y46" s="216" t="str">
        <f t="shared" si="20" ref="Y46:Y109">IF(OR(V46="",W46="",X46=""),"",IF($L$11="PE",W46,IF($L$11="XLPE",X46,"")))</f>
        <v/>
      </c>
      <c r="Z46" s="393" t="str">
        <f>IF(O46="","",VLOOKUP(C46,$D$20:$P$44,13,FALSE))</f>
        <v/>
      </c>
      <c r="AA46" s="396">
        <f>D46</f>
        <v>0</v>
      </c>
      <c r="AB46" s="396">
        <f t="shared" si="4"/>
        <v>0</v>
      </c>
      <c r="AC46" s="395"/>
      <c r="AD46" s="408"/>
      <c r="AE46" s="357" t="str">
        <f t="shared" si="11"/>
        <v/>
      </c>
      <c r="AF46" s="426">
        <f t="shared" si="15"/>
        <v>0</v>
      </c>
      <c r="AG46" s="427"/>
      <c r="AH46" s="420"/>
    </row>
    <row r="47" spans="1:44" ht="15" customHeight="1">
      <c r="A47" s="696"/>
      <c r="B47" s="698"/>
      <c r="C47" s="562"/>
      <c r="D47" s="567"/>
      <c r="E47" s="391"/>
      <c r="F47" s="189" t="str">
        <f t="shared" si="16"/>
        <v/>
      </c>
      <c r="G47" s="382"/>
      <c r="H47" s="190" t="str">
        <f>IF(AND(E47="",G47=""),"",SUM(F47:G55))</f>
        <v/>
      </c>
      <c r="I47" s="191"/>
      <c r="J47" s="222"/>
      <c r="K47" s="222"/>
      <c r="L47" s="197" t="str">
        <f>IF(J47="Duplex",VLOOKUP(M47,'Características dos Cabos MX CH'!$C$12:$I$14,7),(IF(J47="Triplex",VLOOKUP(M47,'Características dos Cabos MX CH'!$C$15:$J$20,8),(IF(J47="Quadruplex",VLOOKUP(M47,'Características dos Cabos MX CH'!$C$21:$K$27,9),(IF(J47="13",VLOOKUP(M47,'Características dos Cabos MX CH'!$C$15:$L$20,10),"")))))))</f>
        <v/>
      </c>
      <c r="M47" s="350" t="str">
        <f t="shared" si="5"/>
        <v/>
      </c>
      <c r="N47" s="375"/>
      <c r="O47" s="192" t="str">
        <f t="shared" si="17"/>
        <v/>
      </c>
      <c r="P47" s="192" t="str">
        <f>IF(O47="","",SUM($O$46:O47)+$Z$46)</f>
        <v/>
      </c>
      <c r="Q47" s="192" t="str">
        <f>IF(H47="","",IF(J47="Quadruplex",H47*1000/($D$13*SQRT(3)),IF(J47="Triplex",H47*1000*SQRT(3)/($D$13*2),IF(J47="Duplex",H47*1000*SQRT(3)/$D$13,IF(J47="13",H47*1000/$D$15,IF(J47="12",H47*1000*2/$D$15,"erro"))))))</f>
        <v/>
      </c>
      <c r="R47" s="193" t="str">
        <f>IF(J47="Duplex",VLOOKUP(M47,'Características dos Cabos MX CH'!$C$12:$I$14,5),(IF(J47="Triplex",VLOOKUP(M47,'Características dos Cabos MX CH'!$C$15:$J$20,5),(IF(J47="Quadruplex",VLOOKUP(M47,'Características dos Cabos MX CH'!$C$21:$K$27,5),(IF(J47="13",VLOOKUP(M47,'Características dos Cabos MX CH'!$C$15:$L$20,5),"")))))))</f>
        <v/>
      </c>
      <c r="S47" s="193" t="str">
        <f>IF(J47="Duplex",VLOOKUP(M47,'Características dos Cabos MX CH'!$C$12:$I$14,6),(IF(J47="Triplex",VLOOKUP(M47,'Características dos Cabos MX CH'!$C$15:$J$20,6),(IF(J47="Quadruplex",VLOOKUP(M47,'Características dos Cabos MX CH'!$C$21:$K$27,6),(IF(J47="13",VLOOKUP(M47,'Características dos Cabos MX CH'!$C$15:$L$20,6),"")))))))</f>
        <v/>
      </c>
      <c r="T47" s="194" t="str">
        <f t="shared" si="13"/>
        <v/>
      </c>
      <c r="U47" s="447" t="str">
        <f>IF(J47="Duplex",VLOOKUP(M47,'Características dos Cabos MX CH'!$C$12:$I$14,2),(IF(J47="Triplex",VLOOKUP(M47,'Características dos Cabos MX CH'!$C$15:$J$20,2),(IF(J47="Quadruplex",VLOOKUP(M47,'Características dos Cabos MX CH'!$C$21:$K$27,2),(IF(J47="13",VLOOKUP(M47,'Características dos Cabos MX CH'!$C$15:$L$20,2),"")))))))</f>
        <v/>
      </c>
      <c r="V47" s="193" t="str">
        <f>IF(J47="Duplex",VLOOKUP(M47,'Características dos Cabos MX CH'!$C$12:$I$14,3),(IF(J47="Triplex",VLOOKUP(M47,'Características dos Cabos MX CH'!$C$15:$J$20,3),(IF(J47="Quadruplex",VLOOKUP(M47,'Características dos Cabos MX CH'!$C$21:$K$27,3),(IF(J47="13",VLOOKUP(M47,'Características dos Cabos MX CH'!$C$15:$L$20,3),"")))))))</f>
        <v/>
      </c>
      <c r="W47" s="195" t="str">
        <f t="shared" si="18"/>
        <v/>
      </c>
      <c r="X47" s="195" t="str">
        <f t="shared" si="19"/>
        <v/>
      </c>
      <c r="Y47" s="196" t="str">
        <f t="shared" si="20"/>
        <v/>
      </c>
      <c r="AA47" s="396">
        <f>D47</f>
        <v>0</v>
      </c>
      <c r="AB47" s="396">
        <f t="shared" si="4"/>
        <v>0</v>
      </c>
      <c r="AC47" s="395"/>
      <c r="AE47" s="357" t="str">
        <f t="shared" si="11"/>
        <v/>
      </c>
      <c r="AF47" s="426">
        <f t="shared" si="15"/>
        <v>0</v>
      </c>
      <c r="AG47" s="420"/>
      <c r="AH47" s="420"/>
      <c r="AO47" s="398"/>
      <c r="AP47" s="399"/>
      <c r="AQ47" s="399"/>
      <c r="AR47" s="400"/>
    </row>
    <row r="48" spans="1:44" ht="15" customHeight="1">
      <c r="A48" s="696"/>
      <c r="B48" s="698"/>
      <c r="C48" s="568"/>
      <c r="D48" s="567"/>
      <c r="E48" s="391"/>
      <c r="F48" s="189" t="str">
        <f t="shared" si="16"/>
        <v/>
      </c>
      <c r="G48" s="382"/>
      <c r="H48" s="190" t="str">
        <f>IF(AND(E48="",G48=""),"",SUM(F48:G55))</f>
        <v/>
      </c>
      <c r="I48" s="191"/>
      <c r="J48" s="222"/>
      <c r="K48" s="222"/>
      <c r="L48" s="197" t="str">
        <f>IF(J48="Duplex",VLOOKUP(M48,'Características dos Cabos MX CH'!$C$12:$I$14,7),(IF(J48="Triplex",VLOOKUP(M48,'Características dos Cabos MX CH'!$C$15:$J$20,8),(IF(J48="Quadruplex",VLOOKUP(M48,'Características dos Cabos MX CH'!$C$21:$K$27,9),(IF(J48="13",VLOOKUP(M48,'Características dos Cabos MX CH'!$C$15:$L$20,10),"")))))))</f>
        <v/>
      </c>
      <c r="M48" s="350" t="str">
        <f t="shared" si="5"/>
        <v/>
      </c>
      <c r="N48" s="375"/>
      <c r="O48" s="192" t="str">
        <f t="shared" si="17"/>
        <v/>
      </c>
      <c r="P48" s="192" t="str">
        <f>IF(O48="","",SUM($O$46:O48)+$Z$46)</f>
        <v/>
      </c>
      <c r="Q48" s="192" t="str">
        <f t="shared" si="6"/>
        <v/>
      </c>
      <c r="R48" s="193" t="str">
        <f>IF(J48="Duplex",VLOOKUP(M48,'Características dos Cabos MX CH'!$C$12:$I$14,5),(IF(J48="Triplex",VLOOKUP(M48,'Características dos Cabos MX CH'!$C$15:$J$20,5),(IF(J48="Quadruplex",VLOOKUP(M48,'Características dos Cabos MX CH'!$C$21:$K$27,5),(IF(J48="13",VLOOKUP(M48,'Características dos Cabos MX CH'!$C$15:$L$20,5),"")))))))</f>
        <v/>
      </c>
      <c r="S48" s="193" t="str">
        <f>IF(J48="Duplex",VLOOKUP(M48,'Características dos Cabos MX CH'!$C$12:$I$14,6),(IF(J48="Triplex",VLOOKUP(M48,'Características dos Cabos MX CH'!$C$15:$J$20,6),(IF(J48="Quadruplex",VLOOKUP(M48,'Características dos Cabos MX CH'!$C$21:$K$27,6),(IF(J48="13",VLOOKUP(M48,'Características dos Cabos MX CH'!$C$15:$L$20,6),"")))))))</f>
        <v/>
      </c>
      <c r="T48" s="194" t="str">
        <f t="shared" si="13"/>
        <v/>
      </c>
      <c r="U48" s="447" t="str">
        <f>IF(J48="Duplex",VLOOKUP(M48,'Características dos Cabos MX CH'!$C$12:$I$14,2),(IF(J48="Triplex",VLOOKUP(M48,'Características dos Cabos MX CH'!$C$15:$J$20,2),(IF(J48="Quadruplex",VLOOKUP(M48,'Características dos Cabos MX CH'!$C$21:$K$27,2),(IF(J48="13",VLOOKUP(M48,'Características dos Cabos MX CH'!$C$15:$L$20,2),"")))))))</f>
        <v/>
      </c>
      <c r="V48" s="193" t="str">
        <f>IF(J48="Duplex",VLOOKUP(M48,'Características dos Cabos MX CH'!$C$12:$I$14,3),(IF(J48="Triplex",VLOOKUP(M48,'Características dos Cabos MX CH'!$C$15:$J$20,3),(IF(J48="Quadruplex",VLOOKUP(M48,'Características dos Cabos MX CH'!$C$21:$K$27,3),(IF(J48="13",VLOOKUP(M48,'Características dos Cabos MX CH'!$C$15:$L$20,3),"")))))))</f>
        <v/>
      </c>
      <c r="W48" s="195" t="str">
        <f t="shared" si="18"/>
        <v/>
      </c>
      <c r="X48" s="195" t="str">
        <f t="shared" si="19"/>
        <v/>
      </c>
      <c r="Y48" s="196" t="str">
        <f t="shared" si="20"/>
        <v/>
      </c>
      <c r="AA48" s="396">
        <f>D48</f>
        <v>0</v>
      </c>
      <c r="AB48" s="396">
        <f t="shared" si="4"/>
        <v>0</v>
      </c>
      <c r="AC48" s="395"/>
      <c r="AE48" s="357" t="str">
        <f t="shared" si="11"/>
        <v/>
      </c>
      <c r="AF48" s="426">
        <f t="shared" si="15"/>
        <v>0</v>
      </c>
      <c r="AG48" s="420"/>
      <c r="AH48" s="420"/>
      <c r="AO48" s="401"/>
      <c r="AP48" s="411" t="s">
        <v>125</v>
      </c>
      <c r="AQ48" s="411" t="s">
        <v>126</v>
      </c>
      <c r="AR48" s="403"/>
    </row>
    <row r="49" spans="1:44" ht="15" customHeight="1">
      <c r="A49" s="696"/>
      <c r="B49" s="698"/>
      <c r="C49" s="568"/>
      <c r="D49" s="567"/>
      <c r="E49" s="391"/>
      <c r="F49" s="189" t="str">
        <f t="shared" si="16"/>
        <v/>
      </c>
      <c r="G49" s="382"/>
      <c r="H49" s="190" t="str">
        <f>IF(AND(E49="",G49=""),"",SUM(F49:G55))</f>
        <v/>
      </c>
      <c r="I49" s="191"/>
      <c r="J49" s="222"/>
      <c r="K49" s="222"/>
      <c r="L49" s="197" t="str">
        <f>IF(J49="Duplex",VLOOKUP(M49,'Características dos Cabos MX CH'!$C$12:$I$14,7),(IF(J49="Triplex",VLOOKUP(M49,'Características dos Cabos MX CH'!$C$15:$J$20,8),(IF(J49="Quadruplex",VLOOKUP(M49,'Características dos Cabos MX CH'!$C$21:$K$27,9),(IF(J49="13",VLOOKUP(M49,'Características dos Cabos MX CH'!$C$15:$L$20,10),"")))))))</f>
        <v/>
      </c>
      <c r="M49" s="350" t="str">
        <f>IF(K49=10,"a",IF(K49=16,"b",IF(K49=25,"c",IF(K49=35,"d",IF(K49=50,"e",(IF(K49=70,"f",(IF(K49=120,"g","")))))))))</f>
        <v/>
      </c>
      <c r="N49" s="375"/>
      <c r="O49" s="192" t="str">
        <f t="shared" si="17"/>
        <v/>
      </c>
      <c r="P49" s="192" t="str">
        <f>IF(O49="","",SUM($O$46:O49)+$Z$46)</f>
        <v/>
      </c>
      <c r="Q49" s="192" t="str">
        <f t="shared" si="6"/>
        <v/>
      </c>
      <c r="R49" s="193" t="str">
        <f>IF(J49="Duplex",VLOOKUP(M49,'Características dos Cabos MX CH'!$C$12:$I$14,5),(IF(J49="Triplex",VLOOKUP(M49,'Características dos Cabos MX CH'!$C$15:$J$20,5),(IF(J49="Quadruplex",VLOOKUP(M49,'Características dos Cabos MX CH'!$C$21:$K$27,5),(IF(J49="13",VLOOKUP(M49,'Características dos Cabos MX CH'!$C$15:$L$20,5),"")))))))</f>
        <v/>
      </c>
      <c r="S49" s="193" t="str">
        <f>IF(J49="Duplex",VLOOKUP(M49,'Características dos Cabos MX CH'!$C$12:$I$14,6),(IF(J49="Triplex",VLOOKUP(M49,'Características dos Cabos MX CH'!$C$15:$J$20,6),(IF(J49="Quadruplex",VLOOKUP(M49,'Características dos Cabos MX CH'!$C$21:$K$27,6),(IF(J49="13",VLOOKUP(M49,'Características dos Cabos MX CH'!$C$15:$L$20,6),"")))))))</f>
        <v/>
      </c>
      <c r="T49" s="194" t="str">
        <f t="shared" si="13"/>
        <v/>
      </c>
      <c r="U49" s="447" t="str">
        <f>IF(J49="Duplex",VLOOKUP(M49,'Características dos Cabos MX CH'!$C$12:$I$14,2),(IF(J49="Triplex",VLOOKUP(M49,'Características dos Cabos MX CH'!$C$15:$J$20,2),(IF(J49="Quadruplex",VLOOKUP(M49,'Características dos Cabos MX CH'!$C$21:$K$27,2),(IF(J49="13",VLOOKUP(M49,'Características dos Cabos MX CH'!$C$15:$L$20,2),"")))))))</f>
        <v/>
      </c>
      <c r="V49" s="193" t="str">
        <f>IF(J49="Duplex",VLOOKUP(M49,'Características dos Cabos MX CH'!$C$12:$I$14,3),(IF(J49="Triplex",VLOOKUP(M49,'Características dos Cabos MX CH'!$C$15:$J$20,3),(IF(J49="Quadruplex",VLOOKUP(M49,'Características dos Cabos MX CH'!$C$21:$K$27,3),(IF(J49="13",VLOOKUP(M49,'Características dos Cabos MX CH'!$C$15:$L$20,3),"")))))))</f>
        <v/>
      </c>
      <c r="W49" s="195" t="str">
        <f t="shared" si="18"/>
        <v/>
      </c>
      <c r="X49" s="195" t="str">
        <f t="shared" si="19"/>
        <v/>
      </c>
      <c r="Y49" s="196" t="str">
        <f t="shared" si="20"/>
        <v/>
      </c>
      <c r="AA49" s="396">
        <f>D49</f>
        <v>0</v>
      </c>
      <c r="AB49" s="396">
        <f>K49</f>
        <v>0</v>
      </c>
      <c r="AC49" s="397"/>
      <c r="AE49" s="357" t="str">
        <f t="shared" si="11"/>
        <v/>
      </c>
      <c r="AF49" s="426">
        <f t="shared" si="15"/>
        <v>0</v>
      </c>
      <c r="AG49" s="420"/>
      <c r="AH49" s="420"/>
      <c r="AO49" s="401"/>
      <c r="AP49" s="412">
        <v>1</v>
      </c>
      <c r="AQ49" s="412">
        <v>1</v>
      </c>
      <c r="AR49" s="403"/>
    </row>
    <row r="50" spans="1:44" ht="15" customHeight="1">
      <c r="A50" s="696"/>
      <c r="B50" s="698"/>
      <c r="C50" s="568"/>
      <c r="D50" s="567"/>
      <c r="E50" s="391"/>
      <c r="F50" s="189" t="str">
        <f t="shared" si="16"/>
        <v/>
      </c>
      <c r="G50" s="382"/>
      <c r="H50" s="190" t="str">
        <f>IF(AND(E50="",G50=""),"",SUM(F50:G55))</f>
        <v/>
      </c>
      <c r="I50" s="191"/>
      <c r="J50" s="222"/>
      <c r="K50" s="222"/>
      <c r="L50" s="197" t="str">
        <f>IF(J50="Duplex",VLOOKUP(M50,'Características dos Cabos MX CH'!$C$12:$I$14,7),(IF(J50="Triplex",VLOOKUP(M50,'Características dos Cabos MX CH'!$C$15:$J$20,8),(IF(J50="Quadruplex",VLOOKUP(M50,'Características dos Cabos MX CH'!$C$21:$K$27,9),(IF(J50="13",VLOOKUP(M50,'Características dos Cabos MX CH'!$C$15:$L$20,10),"")))))))</f>
        <v/>
      </c>
      <c r="M50" s="350" t="str">
        <f t="shared" si="5"/>
        <v/>
      </c>
      <c r="N50" s="375"/>
      <c r="O50" s="192" t="str">
        <f t="shared" si="17"/>
        <v/>
      </c>
      <c r="P50" s="192" t="str">
        <f>IF(O50="","",SUM($O$46:O50)+$Z$46)</f>
        <v/>
      </c>
      <c r="Q50" s="192" t="str">
        <f t="shared" si="6"/>
        <v/>
      </c>
      <c r="R50" s="193" t="str">
        <f>IF(J50="Duplex",VLOOKUP(M50,'Características dos Cabos MX CH'!$C$12:$I$14,5),(IF(J50="Triplex",VLOOKUP(M50,'Características dos Cabos MX CH'!$C$15:$J$20,5),(IF(J50="Quadruplex",VLOOKUP(M50,'Características dos Cabos MX CH'!$C$21:$K$27,5),(IF(J50="13",VLOOKUP(M50,'Características dos Cabos MX CH'!$C$15:$L$20,5),"")))))))</f>
        <v/>
      </c>
      <c r="S50" s="193" t="str">
        <f>IF(J50="Duplex",VLOOKUP(M50,'Características dos Cabos MX CH'!$C$12:$I$14,6),(IF(J50="Triplex",VLOOKUP(M50,'Características dos Cabos MX CH'!$C$15:$J$20,6),(IF(J50="Quadruplex",VLOOKUP(M50,'Características dos Cabos MX CH'!$C$21:$K$27,6),(IF(J50="13",VLOOKUP(M50,'Características dos Cabos MX CH'!$C$15:$L$20,6),"")))))))</f>
        <v/>
      </c>
      <c r="T50" s="194" t="str">
        <f t="shared" si="13"/>
        <v/>
      </c>
      <c r="U50" s="447" t="str">
        <f>IF(J50="Duplex",VLOOKUP(M50,'Características dos Cabos MX CH'!$C$12:$I$14,2),(IF(J50="Triplex",VLOOKUP(M50,'Características dos Cabos MX CH'!$C$15:$J$20,2),(IF(J50="Quadruplex",VLOOKUP(M50,'Características dos Cabos MX CH'!$C$21:$K$27,2),(IF(J50="13",VLOOKUP(M50,'Características dos Cabos MX CH'!$C$15:$L$20,2),"")))))))</f>
        <v/>
      </c>
      <c r="V50" s="193" t="str">
        <f>IF(J50="Duplex",VLOOKUP(M50,'Características dos Cabos MX CH'!$C$12:$I$14,3),(IF(J50="Triplex",VLOOKUP(M50,'Características dos Cabos MX CH'!$C$15:$J$20,3),(IF(J50="Quadruplex",VLOOKUP(M50,'Características dos Cabos MX CH'!$C$21:$K$27,3),(IF(J50="13",VLOOKUP(M50,'Características dos Cabos MX CH'!$C$15:$L$20,3),"")))))))</f>
        <v/>
      </c>
      <c r="W50" s="195" t="str">
        <f t="shared" si="18"/>
        <v/>
      </c>
      <c r="X50" s="195" t="str">
        <f t="shared" si="19"/>
        <v/>
      </c>
      <c r="Y50" s="196" t="str">
        <f t="shared" si="20"/>
        <v/>
      </c>
      <c r="AA50" s="396">
        <f t="shared" si="21" ref="AA50:AA113">D50</f>
        <v>0</v>
      </c>
      <c r="AB50" s="396">
        <f t="shared" si="4"/>
        <v>0</v>
      </c>
      <c r="AC50" s="397"/>
      <c r="AE50" s="357" t="str">
        <f t="shared" si="11"/>
        <v/>
      </c>
      <c r="AF50" s="426">
        <f t="shared" si="15"/>
        <v>0</v>
      </c>
      <c r="AG50" s="420"/>
      <c r="AH50" s="420"/>
      <c r="AO50" s="401"/>
      <c r="AP50" s="412">
        <v>10</v>
      </c>
      <c r="AQ50" s="412">
        <v>1</v>
      </c>
      <c r="AR50" s="403"/>
    </row>
    <row r="51" spans="1:44" ht="15" customHeight="1">
      <c r="A51" s="696"/>
      <c r="B51" s="698"/>
      <c r="C51" s="568"/>
      <c r="D51" s="567"/>
      <c r="E51" s="391"/>
      <c r="F51" s="189" t="str">
        <f t="shared" si="16"/>
        <v/>
      </c>
      <c r="G51" s="382"/>
      <c r="H51" s="190" t="str">
        <f>IF(AND(E51="",G51=""),"",SUM(F51:G55))</f>
        <v/>
      </c>
      <c r="I51" s="191"/>
      <c r="J51" s="222"/>
      <c r="K51" s="222"/>
      <c r="L51" s="197" t="str">
        <f>IF(J51="Duplex",VLOOKUP(M51,'Características dos Cabos MX CH'!$C$12:$I$14,7),(IF(J51="Triplex",VLOOKUP(M51,'Características dos Cabos MX CH'!$C$15:$J$20,8),(IF(J51="Quadruplex",VLOOKUP(M51,'Características dos Cabos MX CH'!$C$21:$K$27,9),(IF(J51="13",VLOOKUP(M51,'Características dos Cabos MX CH'!$C$15:$L$20,10),"")))))))</f>
        <v/>
      </c>
      <c r="M51" s="350" t="str">
        <f t="shared" si="5"/>
        <v/>
      </c>
      <c r="N51" s="375"/>
      <c r="O51" s="192" t="str">
        <f t="shared" si="17"/>
        <v/>
      </c>
      <c r="P51" s="192" t="str">
        <f>IF(O51="","",SUM($O$46:O51)+$Z$46)</f>
        <v/>
      </c>
      <c r="Q51" s="192" t="str">
        <f t="shared" si="6"/>
        <v/>
      </c>
      <c r="R51" s="193" t="str">
        <f>IF(J51="Duplex",VLOOKUP(M51,'Características dos Cabos MX CH'!$C$12:$I$14,5),(IF(J51="Triplex",VLOOKUP(M51,'Características dos Cabos MX CH'!$C$15:$J$20,5),(IF(J51="Quadruplex",VLOOKUP(M51,'Características dos Cabos MX CH'!$C$21:$K$27,5),(IF(J51="13",VLOOKUP(M51,'Características dos Cabos MX CH'!$C$15:$L$20,5),"")))))))</f>
        <v/>
      </c>
      <c r="S51" s="193" t="str">
        <f>IF(J51="Duplex",VLOOKUP(M51,'Características dos Cabos MX CH'!$C$12:$I$14,6),(IF(J51="Triplex",VLOOKUP(M51,'Características dos Cabos MX CH'!$C$15:$J$20,6),(IF(J51="Quadruplex",VLOOKUP(M51,'Características dos Cabos MX CH'!$C$21:$K$27,6),(IF(J51="13",VLOOKUP(M51,'Características dos Cabos MX CH'!$C$15:$L$20,6),"")))))))</f>
        <v/>
      </c>
      <c r="T51" s="194" t="str">
        <f t="shared" si="13"/>
        <v/>
      </c>
      <c r="U51" s="447" t="str">
        <f>IF(J51="Duplex",VLOOKUP(M51,'Características dos Cabos MX CH'!$C$12:$I$14,2),(IF(J51="Triplex",VLOOKUP(M51,'Características dos Cabos MX CH'!$C$15:$J$20,2),(IF(J51="Quadruplex",VLOOKUP(M51,'Características dos Cabos MX CH'!$C$21:$K$27,2),(IF(J51="13",VLOOKUP(M51,'Características dos Cabos MX CH'!$C$15:$L$20,2),"")))))))</f>
        <v/>
      </c>
      <c r="V51" s="193" t="str">
        <f>IF(J51="Duplex",VLOOKUP(M51,'Características dos Cabos MX CH'!$C$12:$I$14,3),(IF(J51="Triplex",VLOOKUP(M51,'Características dos Cabos MX CH'!$C$15:$J$20,3),(IF(J51="Quadruplex",VLOOKUP(M51,'Características dos Cabos MX CH'!$C$21:$K$27,3),(IF(J51="13",VLOOKUP(M51,'Características dos Cabos MX CH'!$C$15:$L$20,3),"")))))))</f>
        <v/>
      </c>
      <c r="W51" s="195" t="str">
        <f t="shared" si="18"/>
        <v/>
      </c>
      <c r="X51" s="195" t="str">
        <f t="shared" si="19"/>
        <v/>
      </c>
      <c r="Y51" s="196" t="str">
        <f t="shared" si="20"/>
        <v/>
      </c>
      <c r="AA51" s="396">
        <f t="shared" si="21"/>
        <v>0</v>
      </c>
      <c r="AB51" s="396">
        <f t="shared" si="4"/>
        <v>0</v>
      </c>
      <c r="AC51" s="395"/>
      <c r="AE51" s="357" t="str">
        <f t="shared" si="11"/>
        <v/>
      </c>
      <c r="AF51" s="426">
        <f t="shared" si="15"/>
        <v>0</v>
      </c>
      <c r="AG51" s="420"/>
      <c r="AH51" s="420"/>
      <c r="AO51" s="401"/>
      <c r="AP51" s="412">
        <v>20</v>
      </c>
      <c r="AQ51" s="412">
        <v>1</v>
      </c>
      <c r="AR51" s="403"/>
    </row>
    <row r="52" spans="1:44" ht="15" customHeight="1">
      <c r="A52" s="696"/>
      <c r="B52" s="698"/>
      <c r="C52" s="568"/>
      <c r="D52" s="567"/>
      <c r="E52" s="367"/>
      <c r="F52" s="189" t="str">
        <f t="shared" si="16"/>
        <v/>
      </c>
      <c r="G52" s="384"/>
      <c r="H52" s="190" t="str">
        <f>IF(AND(E52="",G52=""),"",SUM(F52:G55))</f>
        <v/>
      </c>
      <c r="I52" s="191"/>
      <c r="J52" s="222"/>
      <c r="K52" s="222"/>
      <c r="L52" s="197" t="str">
        <f>IF(J52="Duplex",VLOOKUP(M52,'Características dos Cabos MX CH'!$C$12:$I$14,7),(IF(J52="Triplex",VLOOKUP(M52,'Características dos Cabos MX CH'!$C$15:$J$20,8),(IF(J52="Quadruplex",VLOOKUP(M52,'Características dos Cabos MX CH'!$C$21:$K$27,9),(IF(J52="13",VLOOKUP(M52,'Características dos Cabos MX CH'!$C$15:$L$20,10),"")))))))</f>
        <v/>
      </c>
      <c r="M52" s="350" t="str">
        <f t="shared" si="5"/>
        <v/>
      </c>
      <c r="N52" s="377"/>
      <c r="O52" s="192" t="str">
        <f t="shared" si="17"/>
        <v/>
      </c>
      <c r="P52" s="192" t="str">
        <f>IF(O52="","",SUM($O$46:O52)+$Z$46)</f>
        <v/>
      </c>
      <c r="Q52" s="192" t="str">
        <f t="shared" si="6"/>
        <v/>
      </c>
      <c r="R52" s="193" t="str">
        <f>IF(J52="Duplex",VLOOKUP(M52,'Características dos Cabos MX CH'!$C$12:$I$14,5),(IF(J52="Triplex",VLOOKUP(M52,'Características dos Cabos MX CH'!$C$15:$J$20,5),(IF(J52="Quadruplex",VLOOKUP(M52,'Características dos Cabos MX CH'!$C$21:$K$27,5),(IF(J52="13",VLOOKUP(M52,'Características dos Cabos MX CH'!$C$15:$L$20,5),"")))))))</f>
        <v/>
      </c>
      <c r="S52" s="193" t="str">
        <f>IF(J52="Duplex",VLOOKUP(M52,'Características dos Cabos MX CH'!$C$12:$I$14,6),(IF(J52="Triplex",VLOOKUP(M52,'Características dos Cabos MX CH'!$C$15:$J$20,6),(IF(J52="Quadruplex",VLOOKUP(M52,'Características dos Cabos MX CH'!$C$21:$K$27,6),(IF(J52="13",VLOOKUP(M52,'Características dos Cabos MX CH'!$C$15:$L$20,6),"")))))))</f>
        <v/>
      </c>
      <c r="T52" s="194" t="str">
        <f t="shared" si="13"/>
        <v/>
      </c>
      <c r="U52" s="447" t="str">
        <f>IF(J52="Duplex",VLOOKUP(M52,'Características dos Cabos MX CH'!$C$12:$I$14,2),(IF(J52="Triplex",VLOOKUP(M52,'Características dos Cabos MX CH'!$C$15:$J$20,2),(IF(J52="Quadruplex",VLOOKUP(M52,'Características dos Cabos MX CH'!$C$21:$K$27,2),(IF(J52="13",VLOOKUP(M52,'Características dos Cabos MX CH'!$C$15:$L$20,2),"")))))))</f>
        <v/>
      </c>
      <c r="V52" s="193" t="str">
        <f>IF(J52="Duplex",VLOOKUP(M52,'Características dos Cabos MX CH'!$C$12:$I$14,3),(IF(J52="Triplex",VLOOKUP(M52,'Características dos Cabos MX CH'!$C$15:$J$20,3),(IF(J52="Quadruplex",VLOOKUP(M52,'Características dos Cabos MX CH'!$C$21:$K$27,3),(IF(J52="13",VLOOKUP(M52,'Características dos Cabos MX CH'!$C$15:$L$20,3),"")))))))</f>
        <v/>
      </c>
      <c r="W52" s="195" t="str">
        <f t="shared" si="18"/>
        <v/>
      </c>
      <c r="X52" s="195" t="str">
        <f t="shared" si="19"/>
        <v/>
      </c>
      <c r="Y52" s="196" t="str">
        <f t="shared" si="20"/>
        <v/>
      </c>
      <c r="AA52" s="396">
        <f t="shared" si="21"/>
        <v>0</v>
      </c>
      <c r="AB52" s="396">
        <f t="shared" si="4"/>
        <v>0</v>
      </c>
      <c r="AC52" s="395"/>
      <c r="AE52" s="357" t="str">
        <f t="shared" si="11"/>
        <v/>
      </c>
      <c r="AF52" s="426">
        <f t="shared" si="15"/>
        <v>0</v>
      </c>
      <c r="AG52" s="420"/>
      <c r="AH52" s="420"/>
      <c r="AO52" s="401"/>
      <c r="AP52" s="412">
        <v>30</v>
      </c>
      <c r="AQ52" s="412">
        <v>1</v>
      </c>
      <c r="AR52" s="403"/>
    </row>
    <row r="53" spans="1:44" ht="15" customHeight="1">
      <c r="A53" s="696"/>
      <c r="B53" s="698"/>
      <c r="C53" s="568"/>
      <c r="D53" s="368"/>
      <c r="E53" s="367"/>
      <c r="F53" s="189" t="str">
        <f t="shared" si="16"/>
        <v/>
      </c>
      <c r="G53" s="384"/>
      <c r="H53" s="190" t="str">
        <f>IF(AND(E53="",G53=""),"",SUM(F53:G55))</f>
        <v/>
      </c>
      <c r="I53" s="191"/>
      <c r="J53" s="222"/>
      <c r="K53" s="222"/>
      <c r="L53" s="197" t="str">
        <f>IF(J53="Duplex",VLOOKUP(M53,'Características dos Cabos MX CH'!$C$12:$I$14,7),(IF(J53="Triplex",VLOOKUP(M53,'Características dos Cabos MX CH'!$C$15:$J$20,8),(IF(J53="Quadruplex",VLOOKUP(M53,'Características dos Cabos MX CH'!$C$21:$K$27,9),(IF(J53="13",VLOOKUP(M53,'Características dos Cabos MX CH'!$C$15:$L$20,10),"")))))))</f>
        <v/>
      </c>
      <c r="M53" s="350" t="str">
        <f t="shared" si="5"/>
        <v/>
      </c>
      <c r="N53" s="377"/>
      <c r="O53" s="192" t="str">
        <f t="shared" si="17"/>
        <v/>
      </c>
      <c r="P53" s="192" t="str">
        <f>IF(O53="","",SUM($O$46:O53)+$Z$46)</f>
        <v/>
      </c>
      <c r="Q53" s="192" t="str">
        <f t="shared" si="6"/>
        <v/>
      </c>
      <c r="R53" s="193" t="str">
        <f>IF(J53="Duplex",VLOOKUP(M53,'Características dos Cabos MX CH'!$C$12:$I$14,5),(IF(J53="Triplex",VLOOKUP(M53,'Características dos Cabos MX CH'!$C$15:$J$20,5),(IF(J53="Quadruplex",VLOOKUP(M53,'Características dos Cabos MX CH'!$C$21:$K$27,5),(IF(J53="13",VLOOKUP(M53,'Características dos Cabos MX CH'!$C$15:$L$20,5),"")))))))</f>
        <v/>
      </c>
      <c r="S53" s="193" t="str">
        <f>IF(J53="Duplex",VLOOKUP(M53,'Características dos Cabos MX CH'!$C$12:$I$14,6),(IF(J53="Triplex",VLOOKUP(M53,'Características dos Cabos MX CH'!$C$15:$J$20,6),(IF(J53="Quadruplex",VLOOKUP(M53,'Características dos Cabos MX CH'!$C$21:$K$27,6),(IF(J53="13",VLOOKUP(M53,'Características dos Cabos MX CH'!$C$15:$L$20,6),"")))))))</f>
        <v/>
      </c>
      <c r="T53" s="194" t="str">
        <f t="shared" si="13"/>
        <v/>
      </c>
      <c r="U53" s="447" t="str">
        <f>IF(J53="Duplex",VLOOKUP(M53,'Características dos Cabos MX CH'!$C$12:$I$14,2),(IF(J53="Triplex",VLOOKUP(M53,'Características dos Cabos MX CH'!$C$15:$J$20,2),(IF(J53="Quadruplex",VLOOKUP(M53,'Características dos Cabos MX CH'!$C$21:$K$27,2),(IF(J53="13",VLOOKUP(M53,'Características dos Cabos MX CH'!$C$15:$L$20,2),"")))))))</f>
        <v/>
      </c>
      <c r="V53" s="193" t="str">
        <f>IF(J53="Duplex",VLOOKUP(M53,'Características dos Cabos MX CH'!$C$12:$I$14,3),(IF(J53="Triplex",VLOOKUP(M53,'Características dos Cabos MX CH'!$C$15:$J$20,3),(IF(J53="Quadruplex",VLOOKUP(M53,'Características dos Cabos MX CH'!$C$21:$K$27,3),(IF(J53="13",VLOOKUP(M53,'Características dos Cabos MX CH'!$C$15:$L$20,3),"")))))))</f>
        <v/>
      </c>
      <c r="W53" s="195" t="str">
        <f t="shared" si="18"/>
        <v/>
      </c>
      <c r="X53" s="195" t="str">
        <f t="shared" si="19"/>
        <v/>
      </c>
      <c r="Y53" s="196" t="str">
        <f t="shared" si="20"/>
        <v/>
      </c>
      <c r="AA53" s="396">
        <f t="shared" si="21"/>
        <v>0</v>
      </c>
      <c r="AB53" s="396">
        <f t="shared" si="4"/>
        <v>0</v>
      </c>
      <c r="AC53" s="395"/>
      <c r="AE53" s="357" t="str">
        <f t="shared" si="11"/>
        <v/>
      </c>
      <c r="AF53" s="426">
        <f t="shared" si="15"/>
        <v>0</v>
      </c>
      <c r="AG53" s="420"/>
      <c r="AH53" s="420"/>
      <c r="AO53" s="401"/>
      <c r="AP53" s="412">
        <v>40</v>
      </c>
      <c r="AQ53" s="412">
        <v>1</v>
      </c>
      <c r="AR53" s="403"/>
    </row>
    <row r="54" spans="1:44" ht="15" customHeight="1">
      <c r="A54" s="696"/>
      <c r="B54" s="698"/>
      <c r="C54" s="568"/>
      <c r="D54" s="368"/>
      <c r="E54" s="372"/>
      <c r="F54" s="189" t="str">
        <f t="shared" si="16"/>
        <v/>
      </c>
      <c r="G54" s="384"/>
      <c r="H54" s="190" t="str">
        <f>IF(AND(E54="",G54=""),"",SUM(F54:G55))</f>
        <v/>
      </c>
      <c r="I54" s="191"/>
      <c r="J54" s="222"/>
      <c r="K54" s="222"/>
      <c r="L54" s="197" t="str">
        <f>IF(J54="Duplex",VLOOKUP(M54,'Características dos Cabos MX CH'!$C$12:$I$14,7),(IF(J54="Triplex",VLOOKUP(M54,'Características dos Cabos MX CH'!$C$15:$J$20,8),(IF(J54="Quadruplex",VLOOKUP(M54,'Características dos Cabos MX CH'!$C$21:$K$27,9),(IF(J54="13",VLOOKUP(M54,'Características dos Cabos MX CH'!$C$15:$L$20,10),"")))))))</f>
        <v/>
      </c>
      <c r="M54" s="350" t="str">
        <f t="shared" si="5"/>
        <v/>
      </c>
      <c r="N54" s="377"/>
      <c r="O54" s="192" t="str">
        <f t="shared" si="17"/>
        <v/>
      </c>
      <c r="P54" s="192" t="str">
        <f>IF(O54="","",SUM($O$46:O54)+$Z$46)</f>
        <v/>
      </c>
      <c r="Q54" s="192" t="str">
        <f t="shared" si="6"/>
        <v/>
      </c>
      <c r="R54" s="193" t="str">
        <f>IF(J54="Duplex",VLOOKUP(M54,'Características dos Cabos MX CH'!$C$12:$I$14,5),(IF(J54="Triplex",VLOOKUP(M54,'Características dos Cabos MX CH'!$C$15:$J$20,5),(IF(J54="Quadruplex",VLOOKUP(M54,'Características dos Cabos MX CH'!$C$21:$K$27,5),(IF(J54="13",VLOOKUP(M54,'Características dos Cabos MX CH'!$C$15:$L$20,5),"")))))))</f>
        <v/>
      </c>
      <c r="S54" s="193" t="str">
        <f>IF(J54="Duplex",VLOOKUP(M54,'Características dos Cabos MX CH'!$C$12:$I$14,6),(IF(J54="Triplex",VLOOKUP(M54,'Características dos Cabos MX CH'!$C$15:$J$20,6),(IF(J54="Quadruplex",VLOOKUP(M54,'Características dos Cabos MX CH'!$C$21:$K$27,6),(IF(J54="13",VLOOKUP(M54,'Características dos Cabos MX CH'!$C$15:$L$20,6),"")))))))</f>
        <v/>
      </c>
      <c r="T54" s="194" t="str">
        <f t="shared" si="13"/>
        <v/>
      </c>
      <c r="U54" s="447" t="str">
        <f>IF(J54="Duplex",VLOOKUP(M54,'Características dos Cabos MX CH'!$C$12:$I$14,2),(IF(J54="Triplex",VLOOKUP(M54,'Características dos Cabos MX CH'!$C$15:$J$20,2),(IF(J54="Quadruplex",VLOOKUP(M54,'Características dos Cabos MX CH'!$C$21:$K$27,2),(IF(J54="13",VLOOKUP(M54,'Características dos Cabos MX CH'!$C$15:$L$20,2),"")))))))</f>
        <v/>
      </c>
      <c r="V54" s="193" t="str">
        <f>IF(J54="Duplex",VLOOKUP(M54,'Características dos Cabos MX CH'!$C$12:$I$14,3),(IF(J54="Triplex",VLOOKUP(M54,'Características dos Cabos MX CH'!$C$15:$J$20,3),(IF(J54="Quadruplex",VLOOKUP(M54,'Características dos Cabos MX CH'!$C$21:$K$27,3),(IF(J54="13",VLOOKUP(M54,'Características dos Cabos MX CH'!$C$15:$L$20,3),"")))))))</f>
        <v/>
      </c>
      <c r="W54" s="195" t="str">
        <f t="shared" si="18"/>
        <v/>
      </c>
      <c r="X54" s="195" t="str">
        <f t="shared" si="19"/>
        <v/>
      </c>
      <c r="Y54" s="196" t="str">
        <f t="shared" si="20"/>
        <v/>
      </c>
      <c r="AA54" s="396">
        <f t="shared" si="21"/>
        <v>0</v>
      </c>
      <c r="AB54" s="396">
        <f t="shared" si="4"/>
        <v>0</v>
      </c>
      <c r="AC54" s="395"/>
      <c r="AE54" s="357" t="str">
        <f t="shared" si="11"/>
        <v/>
      </c>
      <c r="AF54" s="426">
        <f t="shared" si="15"/>
        <v>0</v>
      </c>
      <c r="AG54" s="420"/>
      <c r="AH54" s="420"/>
      <c r="AO54" s="401"/>
      <c r="AP54" s="413">
        <v>50</v>
      </c>
      <c r="AQ54" s="413">
        <v>1</v>
      </c>
      <c r="AR54" s="403"/>
    </row>
    <row r="55" spans="1:44" ht="15" customHeight="1" thickBot="1">
      <c r="A55" s="696"/>
      <c r="B55" s="699"/>
      <c r="C55" s="568"/>
      <c r="D55" s="370"/>
      <c r="E55" s="373"/>
      <c r="F55" s="189" t="str">
        <f t="shared" si="22" ref="F55:F116">IF(OR(E55="",$G$11=""),"",E55*$G$11*($J$11/100+1)^($J$15-1))</f>
        <v/>
      </c>
      <c r="G55" s="385"/>
      <c r="H55" s="200" t="str">
        <f>IF(AND(E55="",G55=""),"",SUM(F55:G55))</f>
        <v/>
      </c>
      <c r="I55" s="201"/>
      <c r="J55" s="223"/>
      <c r="K55" s="223"/>
      <c r="L55" s="202" t="str">
        <f>IF(J55="Duplex",VLOOKUP(M55,'Características dos Cabos MX CH'!$C$12:$I$14,7),(IF(J55="Triplex",VLOOKUP(M55,'Características dos Cabos MX CH'!$C$15:$J$20,8),(IF(J55="Quadruplex",VLOOKUP(M55,'Características dos Cabos MX CH'!$C$21:$K$27,9),(IF(J55="13",VLOOKUP(M55,'Características dos Cabos MX CH'!$C$15:$L$20,10),"")))))))</f>
        <v/>
      </c>
      <c r="M55" s="353" t="str">
        <f t="shared" si="5"/>
        <v/>
      </c>
      <c r="N55" s="378"/>
      <c r="O55" s="203" t="str">
        <f t="shared" si="17"/>
        <v/>
      </c>
      <c r="P55" s="192" t="str">
        <f>IF(O55="","",SUM($O$46:O55)+$Z$46)</f>
        <v/>
      </c>
      <c r="Q55" s="203" t="str">
        <f t="shared" si="6"/>
        <v/>
      </c>
      <c r="R55" s="204" t="str">
        <f>IF(J55="Duplex",VLOOKUP(M55,'Características dos Cabos MX CH'!$C$12:$I$14,5),(IF(J55="Triplex",VLOOKUP(M55,'Características dos Cabos MX CH'!$C$15:$J$20,5),(IF(J55="Quadruplex",VLOOKUP(M55,'Características dos Cabos MX CH'!$C$21:$K$27,5),(IF(J55="13",VLOOKUP(M55,'Características dos Cabos MX CH'!$C$15:$L$20,5),"")))))))</f>
        <v/>
      </c>
      <c r="S55" s="204" t="str">
        <f>IF(J55="Duplex",VLOOKUP(M55,'Características dos Cabos MX CH'!$C$12:$I$14,6),(IF(J55="Triplex",VLOOKUP(M55,'Características dos Cabos MX CH'!$C$15:$J$20,6),(IF(J55="Quadruplex",VLOOKUP(M55,'Características dos Cabos MX CH'!$C$21:$K$27,6),(IF(J55="13",VLOOKUP(M55,'Características dos Cabos MX CH'!$C$15:$L$20,6),"")))))))</f>
        <v/>
      </c>
      <c r="T55" s="205" t="str">
        <f t="shared" si="13"/>
        <v/>
      </c>
      <c r="U55" s="448" t="str">
        <f>IF(J55="Duplex",VLOOKUP(M55,'Características dos Cabos MX CH'!$C$12:$I$14,2),(IF(J55="Triplex",VLOOKUP(M55,'Características dos Cabos MX CH'!$C$15:$J$20,2),(IF(J55="Quadruplex",VLOOKUP(M55,'Características dos Cabos MX CH'!$C$21:$K$27,2),(IF(J55="13",VLOOKUP(M55,'Características dos Cabos MX CH'!$C$15:$L$20,2),"")))))))</f>
        <v/>
      </c>
      <c r="V55" s="204" t="str">
        <f>IF(J55="Duplex",VLOOKUP(M55,'Características dos Cabos MX CH'!$C$12:$I$14,3),(IF(J55="Triplex",VLOOKUP(M55,'Características dos Cabos MX CH'!$C$15:$J$20,3),(IF(J55="Quadruplex",VLOOKUP(M55,'Características dos Cabos MX CH'!$C$21:$K$27,3),(IF(J55="13",VLOOKUP(M55,'Características dos Cabos MX CH'!$C$15:$L$20,3),"")))))))</f>
        <v/>
      </c>
      <c r="W55" s="206" t="str">
        <f t="shared" si="18"/>
        <v/>
      </c>
      <c r="X55" s="206" t="str">
        <f t="shared" si="19"/>
        <v/>
      </c>
      <c r="Y55" s="207" t="str">
        <f t="shared" si="20"/>
        <v/>
      </c>
      <c r="AA55" s="396">
        <f t="shared" si="21"/>
        <v>0</v>
      </c>
      <c r="AB55" s="396">
        <f t="shared" si="4"/>
        <v>0</v>
      </c>
      <c r="AC55" s="395"/>
      <c r="AE55" s="357" t="str">
        <f t="shared" si="11"/>
        <v/>
      </c>
      <c r="AF55" s="426">
        <f t="shared" si="15"/>
        <v>0</v>
      </c>
      <c r="AG55" s="420"/>
      <c r="AH55" s="420"/>
      <c r="AO55" s="401"/>
      <c r="AP55" s="413">
        <v>60</v>
      </c>
      <c r="AQ55" s="413">
        <v>1.06</v>
      </c>
      <c r="AR55" s="403"/>
    </row>
    <row r="56" spans="1:44" ht="15" customHeight="1" thickTop="1">
      <c r="A56" s="696"/>
      <c r="B56" s="700" t="str">
        <f>CONCATENATE("Ramal 2 - Derivando no ponto ",C56)</f>
        <v xml:space="preserve">Ramal 2 - Derivando no ponto </v>
      </c>
      <c r="C56" s="572"/>
      <c r="D56" s="573"/>
      <c r="E56" s="366"/>
      <c r="F56" s="457" t="str">
        <f t="shared" si="22"/>
        <v/>
      </c>
      <c r="G56" s="392"/>
      <c r="H56" s="209" t="str">
        <f>IF(AND(E56="",G56=""),"",SUM(F56:G65))</f>
        <v/>
      </c>
      <c r="I56" s="210"/>
      <c r="J56" s="224"/>
      <c r="K56" s="224"/>
      <c r="L56" s="211" t="str">
        <f>IF(J56="Duplex",VLOOKUP(M56,'Características dos Cabos MX CH'!$C$12:$I$14,7),(IF(J56="Triplex",VLOOKUP(M56,'Características dos Cabos MX CH'!$C$15:$J$20,8),(IF(J56="Quadruplex",VLOOKUP(M56,'Características dos Cabos MX CH'!$C$21:$K$27,9),(IF(J56="13",VLOOKUP(M56,'Características dos Cabos MX CH'!$C$15:$L$20,10),"")))))))</f>
        <v/>
      </c>
      <c r="M56" s="354" t="str">
        <f t="shared" si="5"/>
        <v/>
      </c>
      <c r="N56" s="375"/>
      <c r="O56" s="212" t="str">
        <f t="shared" si="17"/>
        <v/>
      </c>
      <c r="P56" s="217" t="str">
        <f>IF(O56="","",O56+VLOOKUP(C56,$D$20:$Q$55,13,FALSE))</f>
        <v/>
      </c>
      <c r="Q56" s="212" t="str">
        <f t="shared" si="6"/>
        <v/>
      </c>
      <c r="R56" s="213" t="str">
        <f>IF(J56="Duplex",VLOOKUP(M56,'Características dos Cabos MX CH'!$C$12:$I$14,5),(IF(J56="Triplex",VLOOKUP(M56,'Características dos Cabos MX CH'!$C$15:$J$20,5),(IF(J56="Quadruplex",VLOOKUP(M56,'Características dos Cabos MX CH'!$C$21:$K$27,5),(IF(J56="13",VLOOKUP(M56,'Características dos Cabos MX CH'!$C$15:$L$20,5),"")))))))</f>
        <v/>
      </c>
      <c r="S56" s="213" t="str">
        <f>IF(J56="Duplex",VLOOKUP(M56,'Características dos Cabos MX CH'!$C$12:$I$14,6),(IF(J56="Triplex",VLOOKUP(M56,'Características dos Cabos MX CH'!$C$15:$J$20,6),(IF(J56="Quadruplex",VLOOKUP(M56,'Características dos Cabos MX CH'!$C$21:$K$27,6),(IF(J56="13",VLOOKUP(M56,'Características dos Cabos MX CH'!$C$15:$L$20,6),"")))))))</f>
        <v/>
      </c>
      <c r="T56" s="214" t="str">
        <f t="shared" si="13"/>
        <v/>
      </c>
      <c r="U56" s="450" t="str">
        <f>IF(J56="Duplex",VLOOKUP(M56,'Características dos Cabos MX CH'!$C$12:$I$14,2),(IF(J56="Triplex",VLOOKUP(M56,'Características dos Cabos MX CH'!$C$15:$J$20,2),(IF(J56="Quadruplex",VLOOKUP(M56,'Características dos Cabos MX CH'!$C$21:$K$27,2),(IF(J56="13",VLOOKUP(M56,'Características dos Cabos MX CH'!$C$15:$L$20,2),"")))))))</f>
        <v/>
      </c>
      <c r="V56" s="213" t="str">
        <f>IF(J56="Duplex",VLOOKUP(M56,'Características dos Cabos MX CH'!$C$12:$I$14,3),(IF(J56="Triplex",VLOOKUP(M56,'Características dos Cabos MX CH'!$C$15:$J$20,3),(IF(J56="Quadruplex",VLOOKUP(M56,'Características dos Cabos MX CH'!$C$21:$K$27,3),(IF(J56="13",VLOOKUP(M56,'Características dos Cabos MX CH'!$C$15:$L$20,3),"")))))))</f>
        <v/>
      </c>
      <c r="W56" s="215" t="str">
        <f t="shared" si="18"/>
        <v/>
      </c>
      <c r="X56" s="215" t="str">
        <f t="shared" si="19"/>
        <v/>
      </c>
      <c r="Y56" s="216" t="str">
        <f t="shared" si="20"/>
        <v/>
      </c>
      <c r="Z56" s="393" t="str">
        <f>IF(O56="","",VLOOKUP(C56,$D$20:$P$55,13,FALSE))</f>
        <v/>
      </c>
      <c r="AA56" s="396">
        <f t="shared" si="21"/>
        <v>0</v>
      </c>
      <c r="AB56" s="396">
        <f t="shared" si="4"/>
        <v>0</v>
      </c>
      <c r="AC56" s="395"/>
      <c r="AE56" s="357" t="str">
        <f t="shared" si="11"/>
        <v/>
      </c>
      <c r="AF56" s="426">
        <f t="shared" si="15"/>
        <v>0</v>
      </c>
      <c r="AG56" s="420"/>
      <c r="AH56" s="420"/>
      <c r="AO56" s="401"/>
      <c r="AP56" s="413">
        <v>70</v>
      </c>
      <c r="AQ56" s="413">
        <v>1.1200000000000001</v>
      </c>
      <c r="AR56" s="403"/>
    </row>
    <row r="57" spans="1:44" ht="15" customHeight="1">
      <c r="A57" s="696"/>
      <c r="B57" s="698"/>
      <c r="C57" s="562"/>
      <c r="D57" s="567"/>
      <c r="E57" s="391"/>
      <c r="F57" s="355" t="str">
        <f t="shared" si="22"/>
        <v/>
      </c>
      <c r="G57" s="382"/>
      <c r="H57" s="190" t="str">
        <f>IF(AND(E57="",G57=""),"",SUM(F57:G65))</f>
        <v/>
      </c>
      <c r="I57" s="191"/>
      <c r="J57" s="224"/>
      <c r="K57" s="224"/>
      <c r="L57" s="197" t="str">
        <f>IF(J57="Duplex",VLOOKUP(M57,'Características dos Cabos MX CH'!$C$12:$I$14,7),(IF(J57="Triplex",VLOOKUP(M57,'Características dos Cabos MX CH'!$C$15:$J$20,8),(IF(J57="Quadruplex",VLOOKUP(M57,'Características dos Cabos MX CH'!$C$21:$K$27,9),(IF(J57="13",VLOOKUP(M57,'Características dos Cabos MX CH'!$C$15:$L$20,10),"")))))))</f>
        <v/>
      </c>
      <c r="M57" s="350" t="str">
        <f t="shared" si="5"/>
        <v/>
      </c>
      <c r="N57" s="375"/>
      <c r="O57" s="192" t="str">
        <f t="shared" si="17"/>
        <v/>
      </c>
      <c r="P57" s="192" t="str">
        <f>IF(O57="","",SUM($O$56:O57)+$Z$56)</f>
        <v/>
      </c>
      <c r="Q57" s="192" t="str">
        <f t="shared" si="6"/>
        <v/>
      </c>
      <c r="R57" s="193" t="str">
        <f>IF(J57="Duplex",VLOOKUP(M57,'Características dos Cabos MX CH'!$C$12:$I$14,5),(IF(J57="Triplex",VLOOKUP(M57,'Características dos Cabos MX CH'!$C$15:$J$20,5),(IF(J57="Quadruplex",VLOOKUP(M57,'Características dos Cabos MX CH'!$C$21:$K$27,5),(IF(J57="13",VLOOKUP(M57,'Características dos Cabos MX CH'!$C$15:$L$20,5),"")))))))</f>
        <v/>
      </c>
      <c r="S57" s="193" t="str">
        <f>IF(J57="Duplex",VLOOKUP(M57,'Características dos Cabos MX CH'!$C$12:$I$14,6),(IF(J57="Triplex",VLOOKUP(M57,'Características dos Cabos MX CH'!$C$15:$J$20,6),(IF(J57="Quadruplex",VLOOKUP(M57,'Características dos Cabos MX CH'!$C$21:$K$27,6),(IF(J57="13",VLOOKUP(M57,'Características dos Cabos MX CH'!$C$15:$L$20,6),"")))))))</f>
        <v/>
      </c>
      <c r="T57" s="194" t="str">
        <f t="shared" si="13"/>
        <v/>
      </c>
      <c r="U57" s="447" t="str">
        <f>IF(J57="Duplex",VLOOKUP(M57,'Características dos Cabos MX CH'!$C$12:$I$14,2),(IF(J57="Triplex",VLOOKUP(M57,'Características dos Cabos MX CH'!$C$15:$J$20,2),(IF(J57="Quadruplex",VLOOKUP(M57,'Características dos Cabos MX CH'!$C$21:$K$27,2),(IF(J57="13",VLOOKUP(M57,'Características dos Cabos MX CH'!$C$15:$L$20,2),"")))))))</f>
        <v/>
      </c>
      <c r="V57" s="193" t="str">
        <f>IF(J57="Duplex",VLOOKUP(M57,'Características dos Cabos MX CH'!$C$12:$I$14,3),(IF(J57="Triplex",VLOOKUP(M57,'Características dos Cabos MX CH'!$C$15:$J$20,3),(IF(J57="Quadruplex",VLOOKUP(M57,'Características dos Cabos MX CH'!$C$21:$K$27,3),(IF(J57="13",VLOOKUP(M57,'Características dos Cabos MX CH'!$C$15:$L$20,3),"")))))))</f>
        <v/>
      </c>
      <c r="W57" s="195" t="str">
        <f t="shared" si="18"/>
        <v/>
      </c>
      <c r="X57" s="195" t="str">
        <f t="shared" si="19"/>
        <v/>
      </c>
      <c r="Y57" s="196" t="str">
        <f t="shared" si="20"/>
        <v/>
      </c>
      <c r="AA57" s="396">
        <f t="shared" si="21"/>
        <v>0</v>
      </c>
      <c r="AB57" s="396">
        <f t="shared" si="4"/>
        <v>0</v>
      </c>
      <c r="AC57" s="395"/>
      <c r="AE57" s="357" t="str">
        <f t="shared" si="11"/>
        <v/>
      </c>
      <c r="AF57" s="426">
        <f t="shared" si="15"/>
        <v>0</v>
      </c>
      <c r="AG57" s="420"/>
      <c r="AH57" s="420"/>
      <c r="AO57" s="401"/>
      <c r="AP57" s="413">
        <v>80</v>
      </c>
      <c r="AQ57" s="413">
        <v>1.18</v>
      </c>
      <c r="AR57" s="403"/>
    </row>
    <row r="58" spans="1:44" ht="15" customHeight="1">
      <c r="A58" s="696"/>
      <c r="B58" s="698"/>
      <c r="C58" s="568"/>
      <c r="D58" s="567"/>
      <c r="E58" s="391"/>
      <c r="F58" s="355" t="str">
        <f t="shared" si="22"/>
        <v/>
      </c>
      <c r="G58" s="382"/>
      <c r="H58" s="190" t="str">
        <f>IF(AND(E58="",G58=""),"",SUM(F58:G65))</f>
        <v/>
      </c>
      <c r="I58" s="191"/>
      <c r="J58" s="224"/>
      <c r="K58" s="224"/>
      <c r="L58" s="197" t="str">
        <f>IF(J58="Duplex",VLOOKUP(M58,'Características dos Cabos MX CH'!$C$12:$I$14,7),(IF(J58="Triplex",VLOOKUP(M58,'Características dos Cabos MX CH'!$C$15:$J$20,8),(IF(J58="Quadruplex",VLOOKUP(M58,'Características dos Cabos MX CH'!$C$21:$K$27,9),(IF(J58="13",VLOOKUP(M58,'Características dos Cabos MX CH'!$C$15:$L$20,10),"")))))))</f>
        <v/>
      </c>
      <c r="M58" s="350" t="str">
        <f t="shared" si="5"/>
        <v/>
      </c>
      <c r="N58" s="375"/>
      <c r="O58" s="192" t="str">
        <f t="shared" si="17"/>
        <v/>
      </c>
      <c r="P58" s="192" t="str">
        <f>IF(O58="","",SUM($O$56:O58)+$Z$56)</f>
        <v/>
      </c>
      <c r="Q58" s="192" t="str">
        <f t="shared" si="6"/>
        <v/>
      </c>
      <c r="R58" s="193" t="str">
        <f>IF(J58="Duplex",VLOOKUP(M58,'Características dos Cabos MX CH'!$C$12:$I$14,5),(IF(J58="Triplex",VLOOKUP(M58,'Características dos Cabos MX CH'!$C$15:$J$20,5),(IF(J58="Quadruplex",VLOOKUP(M58,'Características dos Cabos MX CH'!$C$21:$K$27,5),(IF(J58="13",VLOOKUP(M58,'Características dos Cabos MX CH'!$C$15:$L$20,5),"")))))))</f>
        <v/>
      </c>
      <c r="S58" s="193" t="str">
        <f>IF(J58="Duplex",VLOOKUP(M58,'Características dos Cabos MX CH'!$C$12:$I$14,6),(IF(J58="Triplex",VLOOKUP(M58,'Características dos Cabos MX CH'!$C$15:$J$20,6),(IF(J58="Quadruplex",VLOOKUP(M58,'Características dos Cabos MX CH'!$C$21:$K$27,6),(IF(J58="13",VLOOKUP(M58,'Características dos Cabos MX CH'!$C$15:$L$20,6),"")))))))</f>
        <v/>
      </c>
      <c r="T58" s="194" t="str">
        <f t="shared" si="13"/>
        <v/>
      </c>
      <c r="U58" s="447" t="str">
        <f>IF(J58="Duplex",VLOOKUP(M58,'Características dos Cabos MX CH'!$C$12:$I$14,2),(IF(J58="Triplex",VLOOKUP(M58,'Características dos Cabos MX CH'!$C$15:$J$20,2),(IF(J58="Quadruplex",VLOOKUP(M58,'Características dos Cabos MX CH'!$C$21:$K$27,2),(IF(J58="13",VLOOKUP(M58,'Características dos Cabos MX CH'!$C$15:$L$20,2),"")))))))</f>
        <v/>
      </c>
      <c r="V58" s="193" t="str">
        <f>IF(J58="Duplex",VLOOKUP(M58,'Características dos Cabos MX CH'!$C$12:$I$14,3),(IF(J58="Triplex",VLOOKUP(M58,'Características dos Cabos MX CH'!$C$15:$J$20,3),(IF(J58="Quadruplex",VLOOKUP(M58,'Características dos Cabos MX CH'!$C$21:$K$27,3),(IF(J58="13",VLOOKUP(M58,'Características dos Cabos MX CH'!$C$15:$L$20,3),"")))))))</f>
        <v/>
      </c>
      <c r="W58" s="195" t="str">
        <f t="shared" si="18"/>
        <v/>
      </c>
      <c r="X58" s="195" t="str">
        <f t="shared" si="19"/>
        <v/>
      </c>
      <c r="Y58" s="196" t="str">
        <f t="shared" si="20"/>
        <v/>
      </c>
      <c r="AA58" s="396">
        <f t="shared" si="21"/>
        <v>0</v>
      </c>
      <c r="AB58" s="396">
        <f t="shared" si="4"/>
        <v>0</v>
      </c>
      <c r="AC58" s="395"/>
      <c r="AE58" s="357" t="str">
        <f t="shared" si="11"/>
        <v/>
      </c>
      <c r="AF58" s="426">
        <f t="shared" si="15"/>
        <v>0</v>
      </c>
      <c r="AG58" s="420"/>
      <c r="AH58" s="420"/>
      <c r="AO58" s="401"/>
      <c r="AP58" s="413">
        <v>90</v>
      </c>
      <c r="AQ58" s="413">
        <v>1.24</v>
      </c>
      <c r="AR58" s="403"/>
    </row>
    <row r="59" spans="1:44" ht="15" customHeight="1">
      <c r="A59" s="696"/>
      <c r="B59" s="698"/>
      <c r="C59" s="568"/>
      <c r="D59" s="567"/>
      <c r="E59" s="391"/>
      <c r="F59" s="355" t="str">
        <f t="shared" si="22"/>
        <v/>
      </c>
      <c r="G59" s="382"/>
      <c r="H59" s="190" t="str">
        <f>IF(AND(E59="",G59=""),"",SUM(F59:G65))</f>
        <v/>
      </c>
      <c r="I59" s="191"/>
      <c r="J59" s="224"/>
      <c r="K59" s="222"/>
      <c r="L59" s="197" t="str">
        <f>IF(J59="Duplex",VLOOKUP(M59,'Características dos Cabos MX CH'!$C$12:$I$14,7),(IF(J59="Triplex",VLOOKUP(M59,'Características dos Cabos MX CH'!$C$15:$J$20,8),(IF(J59="Quadruplex",VLOOKUP(M59,'Características dos Cabos MX CH'!$C$21:$K$27,9),(IF(J59="13",VLOOKUP(M59,'Características dos Cabos MX CH'!$C$15:$L$20,10),"")))))))</f>
        <v/>
      </c>
      <c r="M59" s="350" t="str">
        <f t="shared" si="5"/>
        <v/>
      </c>
      <c r="N59" s="375"/>
      <c r="O59" s="192" t="str">
        <f t="shared" si="17"/>
        <v/>
      </c>
      <c r="P59" s="192" t="str">
        <f>IF(O59="","",SUM($O$56:O59)+$Z$56)</f>
        <v/>
      </c>
      <c r="Q59" s="192" t="str">
        <f t="shared" si="6"/>
        <v/>
      </c>
      <c r="R59" s="193" t="str">
        <f>IF(J59="Duplex",VLOOKUP(M59,'Características dos Cabos MX CH'!$C$12:$I$14,5),(IF(J59="Triplex",VLOOKUP(M59,'Características dos Cabos MX CH'!$C$15:$J$20,5),(IF(J59="Quadruplex",VLOOKUP(M59,'Características dos Cabos MX CH'!$C$21:$K$27,5),(IF(J59="13",VLOOKUP(M59,'Características dos Cabos MX CH'!$C$15:$L$20,5),"")))))))</f>
        <v/>
      </c>
      <c r="S59" s="193" t="str">
        <f>IF(J59="Duplex",VLOOKUP(M59,'Características dos Cabos MX CH'!$C$12:$I$14,6),(IF(J59="Triplex",VLOOKUP(M59,'Características dos Cabos MX CH'!$C$15:$J$20,6),(IF(J59="Quadruplex",VLOOKUP(M59,'Características dos Cabos MX CH'!$C$21:$K$27,6),(IF(J59="13",VLOOKUP(M59,'Características dos Cabos MX CH'!$C$15:$L$20,6),"")))))))</f>
        <v/>
      </c>
      <c r="T59" s="194" t="str">
        <f t="shared" si="13"/>
        <v/>
      </c>
      <c r="U59" s="447" t="str">
        <f>IF(J59="Duplex",VLOOKUP(M59,'Características dos Cabos MX CH'!$C$12:$I$14,2),(IF(J59="Triplex",VLOOKUP(M59,'Características dos Cabos MX CH'!$C$15:$J$20,2),(IF(J59="Quadruplex",VLOOKUP(M59,'Características dos Cabos MX CH'!$C$21:$K$27,2),(IF(J59="13",VLOOKUP(M59,'Características dos Cabos MX CH'!$C$15:$L$20,2),"")))))))</f>
        <v/>
      </c>
      <c r="V59" s="193" t="str">
        <f>IF(J59="Duplex",VLOOKUP(M59,'Características dos Cabos MX CH'!$C$12:$I$14,3),(IF(J59="Triplex",VLOOKUP(M59,'Características dos Cabos MX CH'!$C$15:$J$20,3),(IF(J59="Quadruplex",VLOOKUP(M59,'Características dos Cabos MX CH'!$C$21:$K$27,3),(IF(J59="13",VLOOKUP(M59,'Características dos Cabos MX CH'!$C$15:$L$20,3),"")))))))</f>
        <v/>
      </c>
      <c r="W59" s="195" t="str">
        <f t="shared" si="18"/>
        <v/>
      </c>
      <c r="X59" s="195" t="str">
        <f t="shared" si="19"/>
        <v/>
      </c>
      <c r="Y59" s="196" t="str">
        <f t="shared" si="20"/>
        <v/>
      </c>
      <c r="AA59" s="396">
        <f t="shared" si="21"/>
        <v>0</v>
      </c>
      <c r="AB59" s="396">
        <f t="shared" si="4"/>
        <v>0</v>
      </c>
      <c r="AC59" s="395"/>
      <c r="AE59" s="357" t="str">
        <f t="shared" si="11"/>
        <v/>
      </c>
      <c r="AF59" s="426">
        <f t="shared" si="15"/>
        <v>0</v>
      </c>
      <c r="AG59" s="420"/>
      <c r="AH59" s="420"/>
      <c r="AO59" s="401"/>
      <c r="AP59" s="413">
        <v>100</v>
      </c>
      <c r="AQ59" s="413">
        <v>1.82</v>
      </c>
      <c r="AR59" s="403"/>
    </row>
    <row r="60" spans="1:44" ht="15" customHeight="1">
      <c r="A60" s="696"/>
      <c r="B60" s="698"/>
      <c r="C60" s="568"/>
      <c r="D60" s="567"/>
      <c r="E60" s="391"/>
      <c r="F60" s="355" t="str">
        <f t="shared" si="22"/>
        <v/>
      </c>
      <c r="G60" s="382"/>
      <c r="H60" s="190" t="str">
        <f>IF(AND(E60="",G60=""),"",SUM(F60:G65))</f>
        <v/>
      </c>
      <c r="I60" s="191"/>
      <c r="J60" s="224"/>
      <c r="K60" s="222"/>
      <c r="L60" s="197" t="str">
        <f>IF(J60="Duplex",VLOOKUP(M60,'Características dos Cabos MX CH'!$C$12:$I$14,7),(IF(J60="Triplex",VLOOKUP(M60,'Características dos Cabos MX CH'!$C$15:$J$20,8),(IF(J60="Quadruplex",VLOOKUP(M60,'Características dos Cabos MX CH'!$C$21:$K$27,9),(IF(J60="13",VLOOKUP(M60,'Características dos Cabos MX CH'!$C$15:$L$20,10),"")))))))</f>
        <v/>
      </c>
      <c r="M60" s="350" t="str">
        <f t="shared" si="5"/>
        <v/>
      </c>
      <c r="N60" s="375"/>
      <c r="O60" s="192" t="str">
        <f t="shared" si="17"/>
        <v/>
      </c>
      <c r="P60" s="192" t="str">
        <f>IF(O60="","",SUM($O$56:O60)+$Z$56)</f>
        <v/>
      </c>
      <c r="Q60" s="192" t="str">
        <f t="shared" si="6"/>
        <v/>
      </c>
      <c r="R60" s="193" t="str">
        <f>IF(J60="Duplex",VLOOKUP(M60,'Características dos Cabos MX CH'!$C$12:$I$14,5),(IF(J60="Triplex",VLOOKUP(M60,'Características dos Cabos MX CH'!$C$15:$J$20,5),(IF(J60="Quadruplex",VLOOKUP(M60,'Características dos Cabos MX CH'!$C$21:$K$27,5),(IF(J60="13",VLOOKUP(M60,'Características dos Cabos MX CH'!$C$15:$L$20,5),"")))))))</f>
        <v/>
      </c>
      <c r="S60" s="193" t="str">
        <f>IF(J60="Duplex",VLOOKUP(M60,'Características dos Cabos MX CH'!$C$12:$I$14,6),(IF(J60="Triplex",VLOOKUP(M60,'Características dos Cabos MX CH'!$C$15:$J$20,6),(IF(J60="Quadruplex",VLOOKUP(M60,'Características dos Cabos MX CH'!$C$21:$K$27,6),(IF(J60="13",VLOOKUP(M60,'Características dos Cabos MX CH'!$C$15:$L$20,6),"")))))))</f>
        <v/>
      </c>
      <c r="T60" s="194" t="str">
        <f t="shared" si="13"/>
        <v/>
      </c>
      <c r="U60" s="447" t="str">
        <f>IF(J60="Duplex",VLOOKUP(M60,'Características dos Cabos MX CH'!$C$12:$I$14,2),(IF(J60="Triplex",VLOOKUP(M60,'Características dos Cabos MX CH'!$C$15:$J$20,2),(IF(J60="Quadruplex",VLOOKUP(M60,'Características dos Cabos MX CH'!$C$21:$K$27,2),(IF(J60="13",VLOOKUP(M60,'Características dos Cabos MX CH'!$C$15:$L$20,2),"")))))))</f>
        <v/>
      </c>
      <c r="V60" s="193" t="str">
        <f>IF(J60="Duplex",VLOOKUP(M60,'Características dos Cabos MX CH'!$C$12:$I$14,3),(IF(J60="Triplex",VLOOKUP(M60,'Características dos Cabos MX CH'!$C$15:$J$20,3),(IF(J60="Quadruplex",VLOOKUP(M60,'Características dos Cabos MX CH'!$C$21:$K$27,3),(IF(J60="13",VLOOKUP(M60,'Características dos Cabos MX CH'!$C$15:$L$20,3),"")))))))</f>
        <v/>
      </c>
      <c r="W60" s="195" t="str">
        <f t="shared" si="18"/>
        <v/>
      </c>
      <c r="X60" s="195" t="str">
        <f t="shared" si="19"/>
        <v/>
      </c>
      <c r="Y60" s="196" t="str">
        <f t="shared" si="20"/>
        <v/>
      </c>
      <c r="AA60" s="396">
        <f t="shared" si="21"/>
        <v>0</v>
      </c>
      <c r="AB60" s="396">
        <f t="shared" si="4"/>
        <v>0</v>
      </c>
      <c r="AC60" s="395"/>
      <c r="AE60" s="357" t="str">
        <f t="shared" si="11"/>
        <v/>
      </c>
      <c r="AF60" s="426">
        <f t="shared" si="15"/>
        <v>0</v>
      </c>
      <c r="AG60" s="420"/>
      <c r="AH60" s="420"/>
      <c r="AO60" s="401"/>
      <c r="AP60" s="413">
        <v>110</v>
      </c>
      <c r="AQ60" s="413">
        <v>1.85</v>
      </c>
      <c r="AR60" s="403"/>
    </row>
    <row r="61" spans="1:44" ht="15" customHeight="1">
      <c r="A61" s="696"/>
      <c r="B61" s="698"/>
      <c r="C61" s="568"/>
      <c r="D61" s="567"/>
      <c r="E61" s="391"/>
      <c r="F61" s="355" t="str">
        <f t="shared" si="22"/>
        <v/>
      </c>
      <c r="G61" s="382"/>
      <c r="H61" s="190" t="str">
        <f>IF(AND(E61="",G61=""),"",SUM(F61:G65))</f>
        <v/>
      </c>
      <c r="I61" s="191"/>
      <c r="J61" s="222"/>
      <c r="K61" s="222"/>
      <c r="L61" s="197" t="str">
        <f>IF(J61="Duplex",VLOOKUP(M61,'Características dos Cabos MX CH'!$C$12:$I$14,7),(IF(J61="Triplex",VLOOKUP(M61,'Características dos Cabos MX CH'!$C$15:$J$20,8),(IF(J61="Quadruplex",VLOOKUP(M61,'Características dos Cabos MX CH'!$C$21:$K$27,9),(IF(J61="13",VLOOKUP(M61,'Características dos Cabos MX CH'!$C$15:$L$20,10),"")))))))</f>
        <v/>
      </c>
      <c r="M61" s="350" t="str">
        <f t="shared" si="5"/>
        <v/>
      </c>
      <c r="N61" s="375"/>
      <c r="O61" s="192" t="str">
        <f t="shared" si="17"/>
        <v/>
      </c>
      <c r="P61" s="192" t="str">
        <f>IF(O61="","",SUM($O$56:O61)+$Z$56)</f>
        <v/>
      </c>
      <c r="Q61" s="192" t="str">
        <f t="shared" si="6"/>
        <v/>
      </c>
      <c r="R61" s="193" t="str">
        <f>IF(J61="Duplex",VLOOKUP(M61,'Características dos Cabos MX CH'!$C$12:$I$14,5),(IF(J61="Triplex",VLOOKUP(M61,'Características dos Cabos MX CH'!$C$15:$J$20,5),(IF(J61="Quadruplex",VLOOKUP(M61,'Características dos Cabos MX CH'!$C$21:$K$27,5),(IF(J61="13",VLOOKUP(M61,'Características dos Cabos MX CH'!$C$15:$L$20,5),"")))))))</f>
        <v/>
      </c>
      <c r="S61" s="193" t="str">
        <f>IF(J61="Duplex",VLOOKUP(M61,'Características dos Cabos MX CH'!$C$12:$I$14,6),(IF(J61="Triplex",VLOOKUP(M61,'Características dos Cabos MX CH'!$C$15:$J$20,6),(IF(J61="Quadruplex",VLOOKUP(M61,'Características dos Cabos MX CH'!$C$21:$K$27,6),(IF(J61="13",VLOOKUP(M61,'Características dos Cabos MX CH'!$C$15:$L$20,6),"")))))))</f>
        <v/>
      </c>
      <c r="T61" s="194" t="str">
        <f t="shared" si="13"/>
        <v/>
      </c>
      <c r="U61" s="447" t="str">
        <f>IF(J61="Duplex",VLOOKUP(M61,'Características dos Cabos MX CH'!$C$12:$I$14,2),(IF(J61="Triplex",VLOOKUP(M61,'Características dos Cabos MX CH'!$C$15:$J$20,2),(IF(J61="Quadruplex",VLOOKUP(M61,'Características dos Cabos MX CH'!$C$21:$K$27,2),(IF(J61="13",VLOOKUP(M61,'Características dos Cabos MX CH'!$C$15:$L$20,2),"")))))))</f>
        <v/>
      </c>
      <c r="V61" s="193" t="str">
        <f>IF(J61="Duplex",VLOOKUP(M61,'Características dos Cabos MX CH'!$C$12:$I$14,3),(IF(J61="Triplex",VLOOKUP(M61,'Características dos Cabos MX CH'!$C$15:$J$20,3),(IF(J61="Quadruplex",VLOOKUP(M61,'Características dos Cabos MX CH'!$C$21:$K$27,3),(IF(J61="13",VLOOKUP(M61,'Características dos Cabos MX CH'!$C$15:$L$20,3),"")))))))</f>
        <v/>
      </c>
      <c r="W61" s="195" t="str">
        <f t="shared" si="18"/>
        <v/>
      </c>
      <c r="X61" s="195" t="str">
        <f t="shared" si="19"/>
        <v/>
      </c>
      <c r="Y61" s="196" t="str">
        <f t="shared" si="20"/>
        <v/>
      </c>
      <c r="AA61" s="396">
        <f t="shared" si="21"/>
        <v>0</v>
      </c>
      <c r="AB61" s="396">
        <f t="shared" si="4"/>
        <v>0</v>
      </c>
      <c r="AC61" s="395"/>
      <c r="AE61" s="357" t="str">
        <f t="shared" si="11"/>
        <v/>
      </c>
      <c r="AF61" s="426">
        <f t="shared" si="15"/>
        <v>0</v>
      </c>
      <c r="AG61" s="420"/>
      <c r="AH61" s="420"/>
      <c r="AO61" s="401"/>
      <c r="AP61" s="413">
        <v>120</v>
      </c>
      <c r="AQ61" s="413">
        <v>1.88</v>
      </c>
      <c r="AR61" s="403"/>
    </row>
    <row r="62" spans="1:44" ht="15" customHeight="1">
      <c r="A62" s="696"/>
      <c r="B62" s="698"/>
      <c r="C62" s="568"/>
      <c r="D62" s="567"/>
      <c r="E62" s="367"/>
      <c r="F62" s="189" t="str">
        <f t="shared" si="22"/>
        <v/>
      </c>
      <c r="G62" s="384"/>
      <c r="H62" s="190" t="str">
        <f>IF(AND(E62="",G62=""),"",SUM(F62:G65))</f>
        <v/>
      </c>
      <c r="I62" s="191"/>
      <c r="J62" s="222"/>
      <c r="K62" s="222"/>
      <c r="L62" s="197" t="str">
        <f>IF(J62="Duplex",VLOOKUP(M62,'Características dos Cabos MX CH'!$C$12:$I$14,7),(IF(J62="Triplex",VLOOKUP(M62,'Características dos Cabos MX CH'!$C$15:$J$20,8),(IF(J62="Quadruplex",VLOOKUP(M62,'Características dos Cabos MX CH'!$C$21:$K$27,9),(IF(J62="13",VLOOKUP(M62,'Características dos Cabos MX CH'!$C$15:$L$20,10),"")))))))</f>
        <v/>
      </c>
      <c r="M62" s="350" t="str">
        <f t="shared" si="5"/>
        <v/>
      </c>
      <c r="N62" s="375"/>
      <c r="O62" s="192" t="str">
        <f t="shared" si="17"/>
        <v/>
      </c>
      <c r="P62" s="192" t="str">
        <f>IF(O62="","",SUM($O$56:O62)+$Z$56)</f>
        <v/>
      </c>
      <c r="Q62" s="192" t="str">
        <f t="shared" si="6"/>
        <v/>
      </c>
      <c r="R62" s="193" t="str">
        <f>IF(J62="Duplex",VLOOKUP(M62,'Características dos Cabos MX CH'!$C$12:$I$14,5),(IF(J62="Triplex",VLOOKUP(M62,'Características dos Cabos MX CH'!$C$15:$J$20,5),(IF(J62="Quadruplex",VLOOKUP(M62,'Características dos Cabos MX CH'!$C$21:$K$27,5),(IF(J62="13",VLOOKUP(M62,'Características dos Cabos MX CH'!$C$15:$L$20,5),"")))))))</f>
        <v/>
      </c>
      <c r="S62" s="193" t="str">
        <f>IF(J62="Duplex",VLOOKUP(M62,'Características dos Cabos MX CH'!$C$12:$I$14,6),(IF(J62="Triplex",VLOOKUP(M62,'Características dos Cabos MX CH'!$C$15:$J$20,6),(IF(J62="Quadruplex",VLOOKUP(M62,'Características dos Cabos MX CH'!$C$21:$K$27,6),(IF(J62="13",VLOOKUP(M62,'Características dos Cabos MX CH'!$C$15:$L$20,6),"")))))))</f>
        <v/>
      </c>
      <c r="T62" s="194" t="str">
        <f t="shared" si="13"/>
        <v/>
      </c>
      <c r="U62" s="447" t="str">
        <f>IF(J62="Duplex",VLOOKUP(M62,'Características dos Cabos MX CH'!$C$12:$I$14,2),(IF(J62="Triplex",VLOOKUP(M62,'Características dos Cabos MX CH'!$C$15:$J$20,2),(IF(J62="Quadruplex",VLOOKUP(M62,'Características dos Cabos MX CH'!$C$21:$K$27,2),(IF(J62="13",VLOOKUP(M62,'Características dos Cabos MX CH'!$C$15:$L$20,2),"")))))))</f>
        <v/>
      </c>
      <c r="V62" s="193" t="str">
        <f>IF(J62="Duplex",VLOOKUP(M62,'Características dos Cabos MX CH'!$C$12:$I$14,3),(IF(J62="Triplex",VLOOKUP(M62,'Características dos Cabos MX CH'!$C$15:$J$20,3),(IF(J62="Quadruplex",VLOOKUP(M62,'Características dos Cabos MX CH'!$C$21:$K$27,3),(IF(J62="13",VLOOKUP(M62,'Características dos Cabos MX CH'!$C$15:$L$20,3),"")))))))</f>
        <v/>
      </c>
      <c r="W62" s="195" t="str">
        <f t="shared" si="18"/>
        <v/>
      </c>
      <c r="X62" s="195" t="str">
        <f t="shared" si="19"/>
        <v/>
      </c>
      <c r="Y62" s="196" t="str">
        <f t="shared" si="20"/>
        <v/>
      </c>
      <c r="AA62" s="396">
        <f t="shared" si="21"/>
        <v>0</v>
      </c>
      <c r="AB62" s="396">
        <f t="shared" si="4"/>
        <v>0</v>
      </c>
      <c r="AC62" s="395"/>
      <c r="AE62" s="357" t="str">
        <f t="shared" si="11"/>
        <v/>
      </c>
      <c r="AF62" s="426">
        <f t="shared" si="15"/>
        <v>0</v>
      </c>
      <c r="AG62" s="420"/>
      <c r="AH62" s="420"/>
      <c r="AO62" s="401"/>
      <c r="AP62" s="413">
        <v>130</v>
      </c>
      <c r="AQ62" s="413">
        <v>1.90</v>
      </c>
      <c r="AR62" s="403"/>
    </row>
    <row r="63" spans="1:44" ht="15" customHeight="1">
      <c r="A63" s="696"/>
      <c r="B63" s="698"/>
      <c r="C63" s="568"/>
      <c r="D63" s="368"/>
      <c r="E63" s="367"/>
      <c r="F63" s="189" t="str">
        <f t="shared" si="22"/>
        <v/>
      </c>
      <c r="G63" s="384"/>
      <c r="H63" s="190" t="str">
        <f>IF(AND(E63="",G63=""),"",SUM(F63:G65))</f>
        <v/>
      </c>
      <c r="I63" s="191"/>
      <c r="J63" s="222"/>
      <c r="K63" s="222"/>
      <c r="L63" s="197" t="str">
        <f>IF(J63="Duplex",VLOOKUP(M63,'Características dos Cabos MX CH'!$C$12:$I$14,7),(IF(J63="Triplex",VLOOKUP(M63,'Características dos Cabos MX CH'!$C$15:$J$20,8),(IF(J63="Quadruplex",VLOOKUP(M63,'Características dos Cabos MX CH'!$C$21:$K$27,9),(IF(J63="13",VLOOKUP(M63,'Características dos Cabos MX CH'!$C$15:$L$20,10),"")))))))</f>
        <v/>
      </c>
      <c r="M63" s="350" t="str">
        <f t="shared" si="5"/>
        <v/>
      </c>
      <c r="N63" s="375"/>
      <c r="O63" s="192" t="str">
        <f t="shared" si="17"/>
        <v/>
      </c>
      <c r="P63" s="192" t="str">
        <f>IF(O63="","",SUM($O$56:O63)+$Z$56)</f>
        <v/>
      </c>
      <c r="Q63" s="192" t="str">
        <f t="shared" si="6"/>
        <v/>
      </c>
      <c r="R63" s="193" t="str">
        <f>IF(J63="Duplex",VLOOKUP(M63,'Características dos Cabos MX CH'!$C$12:$I$14,5),(IF(J63="Triplex",VLOOKUP(M63,'Características dos Cabos MX CH'!$C$15:$J$20,5),(IF(J63="Quadruplex",VLOOKUP(M63,'Características dos Cabos MX CH'!$C$21:$K$27,5),(IF(J63="13",VLOOKUP(M63,'Características dos Cabos MX CH'!$C$15:$L$20,5),"")))))))</f>
        <v/>
      </c>
      <c r="S63" s="193" t="str">
        <f>IF(J63="Duplex",VLOOKUP(M63,'Características dos Cabos MX CH'!$C$12:$I$14,6),(IF(J63="Triplex",VLOOKUP(M63,'Características dos Cabos MX CH'!$C$15:$J$20,6),(IF(J63="Quadruplex",VLOOKUP(M63,'Características dos Cabos MX CH'!$C$21:$K$27,6),(IF(J63="13",VLOOKUP(M63,'Características dos Cabos MX CH'!$C$15:$L$20,6),"")))))))</f>
        <v/>
      </c>
      <c r="T63" s="194" t="str">
        <f t="shared" si="13"/>
        <v/>
      </c>
      <c r="U63" s="447" t="str">
        <f>IF(J63="Duplex",VLOOKUP(M63,'Características dos Cabos MX CH'!$C$12:$I$14,2),(IF(J63="Triplex",VLOOKUP(M63,'Características dos Cabos MX CH'!$C$15:$J$20,2),(IF(J63="Quadruplex",VLOOKUP(M63,'Características dos Cabos MX CH'!$C$21:$K$27,2),(IF(J63="13",VLOOKUP(M63,'Características dos Cabos MX CH'!$C$15:$L$20,2),"")))))))</f>
        <v/>
      </c>
      <c r="V63" s="193" t="str">
        <f>IF(J63="Duplex",VLOOKUP(M63,'Características dos Cabos MX CH'!$C$12:$I$14,3),(IF(J63="Triplex",VLOOKUP(M63,'Características dos Cabos MX CH'!$C$15:$J$20,3),(IF(J63="Quadruplex",VLOOKUP(M63,'Características dos Cabos MX CH'!$C$21:$K$27,3),(IF(J63="13",VLOOKUP(M63,'Características dos Cabos MX CH'!$C$15:$L$20,3),"")))))))</f>
        <v/>
      </c>
      <c r="W63" s="195" t="str">
        <f t="shared" si="18"/>
        <v/>
      </c>
      <c r="X63" s="195" t="str">
        <f t="shared" si="19"/>
        <v/>
      </c>
      <c r="Y63" s="196" t="str">
        <f t="shared" si="20"/>
        <v/>
      </c>
      <c r="AA63" s="396">
        <f t="shared" si="21"/>
        <v>0</v>
      </c>
      <c r="AB63" s="396">
        <f t="shared" si="4"/>
        <v>0</v>
      </c>
      <c r="AC63" s="395"/>
      <c r="AE63" s="357" t="str">
        <f t="shared" si="11"/>
        <v/>
      </c>
      <c r="AF63" s="426">
        <f t="shared" si="15"/>
        <v>0</v>
      </c>
      <c r="AG63" s="420"/>
      <c r="AH63" s="420"/>
      <c r="AO63" s="401"/>
      <c r="AP63" s="413">
        <v>140</v>
      </c>
      <c r="AQ63" s="413">
        <v>1.93</v>
      </c>
      <c r="AR63" s="403"/>
    </row>
    <row r="64" spans="1:44" ht="15" customHeight="1">
      <c r="A64" s="696"/>
      <c r="B64" s="698"/>
      <c r="C64" s="568"/>
      <c r="D64" s="368"/>
      <c r="E64" s="372"/>
      <c r="F64" s="189" t="str">
        <f t="shared" si="22"/>
        <v/>
      </c>
      <c r="G64" s="384"/>
      <c r="H64" s="190" t="str">
        <f>IF(AND(E64="",G64=""),"",SUM(F64:G65))</f>
        <v/>
      </c>
      <c r="I64" s="191"/>
      <c r="J64" s="222"/>
      <c r="K64" s="222"/>
      <c r="L64" s="197" t="str">
        <f>IF(J64="Duplex",VLOOKUP(M64,'Características dos Cabos MX CH'!$C$12:$I$14,7),(IF(J64="Triplex",VLOOKUP(M64,'Características dos Cabos MX CH'!$C$15:$J$20,8),(IF(J64="Quadruplex",VLOOKUP(M64,'Características dos Cabos MX CH'!$C$21:$K$27,9),(IF(J64="13",VLOOKUP(M64,'Características dos Cabos MX CH'!$C$15:$L$20,10),"")))))))</f>
        <v/>
      </c>
      <c r="M64" s="350" t="str">
        <f t="shared" si="5"/>
        <v/>
      </c>
      <c r="N64" s="377"/>
      <c r="O64" s="192" t="str">
        <f t="shared" si="17"/>
        <v/>
      </c>
      <c r="P64" s="192" t="str">
        <f>IF(O64="","",SUM($O$56:O64)+$Z$56)</f>
        <v/>
      </c>
      <c r="Q64" s="192" t="str">
        <f t="shared" si="6"/>
        <v/>
      </c>
      <c r="R64" s="193" t="str">
        <f>IF(J64="Duplex",VLOOKUP(M64,'Características dos Cabos MX CH'!$C$12:$I$14,5),(IF(J64="Triplex",VLOOKUP(M64,'Características dos Cabos MX CH'!$C$15:$J$20,5),(IF(J64="Quadruplex",VLOOKUP(M64,'Características dos Cabos MX CH'!$C$21:$K$27,5),(IF(J64="13",VLOOKUP(M64,'Características dos Cabos MX CH'!$C$15:$L$20,5),"")))))))</f>
        <v/>
      </c>
      <c r="S64" s="193" t="str">
        <f>IF(J64="Duplex",VLOOKUP(M64,'Características dos Cabos MX CH'!$C$12:$I$14,6),(IF(J64="Triplex",VLOOKUP(M64,'Características dos Cabos MX CH'!$C$15:$J$20,6),(IF(J64="Quadruplex",VLOOKUP(M64,'Características dos Cabos MX CH'!$C$21:$K$27,6),(IF(J64="13",VLOOKUP(M64,'Características dos Cabos MX CH'!$C$15:$L$20,6),"")))))))</f>
        <v/>
      </c>
      <c r="T64" s="194" t="str">
        <f t="shared" si="13"/>
        <v/>
      </c>
      <c r="U64" s="447" t="str">
        <f>IF(J64="Duplex",VLOOKUP(M64,'Características dos Cabos MX CH'!$C$12:$I$14,2),(IF(J64="Triplex",VLOOKUP(M64,'Características dos Cabos MX CH'!$C$15:$J$20,2),(IF(J64="Quadruplex",VLOOKUP(M64,'Características dos Cabos MX CH'!$C$21:$K$27,2),(IF(J64="13",VLOOKUP(M64,'Características dos Cabos MX CH'!$C$15:$L$20,2),"")))))))</f>
        <v/>
      </c>
      <c r="V64" s="193" t="str">
        <f>IF(J64="Duplex",VLOOKUP(M64,'Características dos Cabos MX CH'!$C$12:$I$14,3),(IF(J64="Triplex",VLOOKUP(M64,'Características dos Cabos MX CH'!$C$15:$J$20,3),(IF(J64="Quadruplex",VLOOKUP(M64,'Características dos Cabos MX CH'!$C$21:$K$27,3),(IF(J64="13",VLOOKUP(M64,'Características dos Cabos MX CH'!$C$15:$L$20,3),"")))))))</f>
        <v/>
      </c>
      <c r="W64" s="195" t="str">
        <f t="shared" si="18"/>
        <v/>
      </c>
      <c r="X64" s="195" t="str">
        <f t="shared" si="19"/>
        <v/>
      </c>
      <c r="Y64" s="196" t="str">
        <f t="shared" si="20"/>
        <v/>
      </c>
      <c r="AA64" s="396">
        <f t="shared" si="21"/>
        <v>0</v>
      </c>
      <c r="AB64" s="396">
        <f t="shared" si="4"/>
        <v>0</v>
      </c>
      <c r="AC64" s="395"/>
      <c r="AE64" s="357" t="str">
        <f t="shared" si="11"/>
        <v/>
      </c>
      <c r="AF64" s="426">
        <f t="shared" si="15"/>
        <v>0</v>
      </c>
      <c r="AG64" s="420"/>
      <c r="AH64" s="420"/>
      <c r="AO64" s="401"/>
      <c r="AP64" s="413">
        <v>150</v>
      </c>
      <c r="AQ64" s="413">
        <v>1.96</v>
      </c>
      <c r="AR64" s="403"/>
    </row>
    <row r="65" spans="1:44" ht="15" customHeight="1" thickBot="1">
      <c r="A65" s="696"/>
      <c r="B65" s="699"/>
      <c r="C65" s="568"/>
      <c r="D65" s="370"/>
      <c r="E65" s="369"/>
      <c r="F65" s="199" t="str">
        <f t="shared" si="22"/>
        <v/>
      </c>
      <c r="G65" s="385"/>
      <c r="H65" s="200" t="str">
        <f>IF(AND(E65="",G65=""),"",SUM(F65:G65))</f>
        <v/>
      </c>
      <c r="I65" s="201"/>
      <c r="J65" s="223"/>
      <c r="K65" s="223"/>
      <c r="L65" s="202" t="str">
        <f>IF(J65="Duplex",VLOOKUP(M65,'Características dos Cabos MX CH'!$C$12:$I$14,7),(IF(J65="Triplex",VLOOKUP(M65,'Características dos Cabos MX CH'!$C$15:$J$20,8),(IF(J65="Quadruplex",VLOOKUP(M65,'Características dos Cabos MX CH'!$C$21:$K$27,9),(IF(J65="13",VLOOKUP(M65,'Características dos Cabos MX CH'!$C$15:$L$20,10),"")))))))</f>
        <v/>
      </c>
      <c r="M65" s="353" t="str">
        <f t="shared" si="5"/>
        <v/>
      </c>
      <c r="N65" s="378"/>
      <c r="O65" s="203" t="str">
        <f t="shared" si="17"/>
        <v/>
      </c>
      <c r="P65" s="192" t="str">
        <f>IF(O65="","",SUM($O$56:O65)+$Z$56)</f>
        <v/>
      </c>
      <c r="Q65" s="203" t="str">
        <f t="shared" si="6"/>
        <v/>
      </c>
      <c r="R65" s="204" t="str">
        <f>IF(J65="Duplex",VLOOKUP(M65,'Características dos Cabos MX CH'!$C$12:$I$14,5),(IF(J65="Triplex",VLOOKUP(M65,'Características dos Cabos MX CH'!$C$15:$J$20,5),(IF(J65="Quadruplex",VLOOKUP(M65,'Características dos Cabos MX CH'!$C$21:$K$27,5),(IF(J65="13",VLOOKUP(M65,'Características dos Cabos MX CH'!$C$15:$L$20,5),"")))))))</f>
        <v/>
      </c>
      <c r="S65" s="204" t="str">
        <f>IF(J65="Duplex",VLOOKUP(M65,'Características dos Cabos MX CH'!$C$12:$I$14,6),(IF(J65="Triplex",VLOOKUP(M65,'Características dos Cabos MX CH'!$C$15:$J$20,6),(IF(J65="Quadruplex",VLOOKUP(M65,'Características dos Cabos MX CH'!$C$21:$K$27,6),(IF(J65="13",VLOOKUP(M65,'Características dos Cabos MX CH'!$C$15:$L$20,6),"")))))))</f>
        <v/>
      </c>
      <c r="T65" s="205" t="str">
        <f t="shared" si="13"/>
        <v/>
      </c>
      <c r="U65" s="448" t="str">
        <f>IF(J65="Duplex",VLOOKUP(M65,'Características dos Cabos MX CH'!$C$12:$I$14,2),(IF(J65="Triplex",VLOOKUP(M65,'Características dos Cabos MX CH'!$C$15:$J$20,2),(IF(J65="Quadruplex",VLOOKUP(M65,'Características dos Cabos MX CH'!$C$21:$K$27,2),(IF(J65="13",VLOOKUP(M65,'Características dos Cabos MX CH'!$C$15:$L$20,2),"")))))))</f>
        <v/>
      </c>
      <c r="V65" s="204" t="str">
        <f>IF(J65="Duplex",VLOOKUP(M65,'Características dos Cabos MX CH'!$C$12:$I$14,3),(IF(J65="Triplex",VLOOKUP(M65,'Características dos Cabos MX CH'!$C$15:$J$20,3),(IF(J65="Quadruplex",VLOOKUP(M65,'Características dos Cabos MX CH'!$C$21:$K$27,3),(IF(J65="13",VLOOKUP(M65,'Características dos Cabos MX CH'!$C$15:$L$20,3),"")))))))</f>
        <v/>
      </c>
      <c r="W65" s="206" t="str">
        <f t="shared" si="18"/>
        <v/>
      </c>
      <c r="X65" s="206" t="str">
        <f t="shared" si="19"/>
        <v/>
      </c>
      <c r="Y65" s="207" t="str">
        <f t="shared" si="20"/>
        <v/>
      </c>
      <c r="AA65" s="396">
        <f t="shared" si="21"/>
        <v>0</v>
      </c>
      <c r="AB65" s="396">
        <f t="shared" si="4"/>
        <v>0</v>
      </c>
      <c r="AC65" s="395"/>
      <c r="AE65" s="357" t="str">
        <f t="shared" si="11"/>
        <v/>
      </c>
      <c r="AF65" s="426">
        <f t="shared" si="15"/>
        <v>0</v>
      </c>
      <c r="AG65" s="420"/>
      <c r="AH65" s="420"/>
      <c r="AO65" s="401"/>
      <c r="AP65" s="413">
        <v>160</v>
      </c>
      <c r="AQ65" s="413">
        <v>2.02</v>
      </c>
      <c r="AR65" s="403"/>
    </row>
    <row r="66" spans="1:44" ht="15" customHeight="1" thickTop="1">
      <c r="A66" s="696"/>
      <c r="B66" s="700" t="str">
        <f>CONCATENATE("Ramal 3 - Derivando no ponto ",C66)</f>
        <v xml:space="preserve">Ramal 3 - Derivando no ponto </v>
      </c>
      <c r="C66" s="572"/>
      <c r="D66" s="573"/>
      <c r="E66" s="374"/>
      <c r="F66" s="208" t="str">
        <f t="shared" si="22"/>
        <v/>
      </c>
      <c r="G66" s="386"/>
      <c r="H66" s="209" t="str">
        <f>IF(AND(E66="",G66=""),"",SUM(F66:G75))</f>
        <v/>
      </c>
      <c r="I66" s="210"/>
      <c r="J66" s="224"/>
      <c r="K66" s="224"/>
      <c r="L66" s="211" t="str">
        <f>IF(J66="Duplex",VLOOKUP(M66,'Características dos Cabos MX CH'!$C$12:$I$14,7),(IF(J66="Triplex",VLOOKUP(M66,'Características dos Cabos MX CH'!$C$15:$J$20,8),(IF(J66="Quadruplex",VLOOKUP(M66,'Características dos Cabos MX CH'!$C$21:$K$27,9),(IF(J66="13",VLOOKUP(M66,'Características dos Cabos MX CH'!$C$15:$L$20,10),"")))))))</f>
        <v/>
      </c>
      <c r="M66" s="354" t="str">
        <f t="shared" si="5"/>
        <v/>
      </c>
      <c r="N66" s="379"/>
      <c r="O66" s="212" t="str">
        <f t="shared" si="17"/>
        <v/>
      </c>
      <c r="P66" s="217" t="str">
        <f>IF(O66="","",O66+VLOOKUP(C66,$D$20:$Q$65,13,FALSE))</f>
        <v/>
      </c>
      <c r="Q66" s="212" t="str">
        <f t="shared" si="6"/>
        <v/>
      </c>
      <c r="R66" s="213" t="str">
        <f>IF(J66="Duplex",VLOOKUP(M66,'Características dos Cabos MX CH'!$C$12:$I$14,5),(IF(J66="Triplex",VLOOKUP(M66,'Características dos Cabos MX CH'!$C$15:$J$20,5),(IF(J66="Quadruplex",VLOOKUP(M66,'Características dos Cabos MX CH'!$C$21:$K$27,5),(IF(J66="13",VLOOKUP(M66,'Características dos Cabos MX CH'!$C$15:$L$20,5),"")))))))</f>
        <v/>
      </c>
      <c r="S66" s="213" t="str">
        <f>IF(J66="Duplex",VLOOKUP(M66,'Características dos Cabos MX CH'!$C$12:$I$14,6),(IF(J66="Triplex",VLOOKUP(M66,'Características dos Cabos MX CH'!$C$15:$J$20,6),(IF(J66="Quadruplex",VLOOKUP(M66,'Características dos Cabos MX CH'!$C$21:$K$27,6),(IF(J66="13",VLOOKUP(M66,'Características dos Cabos MX CH'!$C$15:$L$20,6),"")))))))</f>
        <v/>
      </c>
      <c r="T66" s="214" t="str">
        <f t="shared" si="13"/>
        <v/>
      </c>
      <c r="U66" s="450" t="str">
        <f>IF(J66="Duplex",VLOOKUP(M66,'Características dos Cabos MX CH'!$C$12:$I$14,2),(IF(J66="Triplex",VLOOKUP(M66,'Características dos Cabos MX CH'!$C$15:$J$20,2),(IF(J66="Quadruplex",VLOOKUP(M66,'Características dos Cabos MX CH'!$C$21:$K$27,2),(IF(J66="13",VLOOKUP(M66,'Características dos Cabos MX CH'!$C$15:$L$20,2),"")))))))</f>
        <v/>
      </c>
      <c r="V66" s="213" t="str">
        <f>IF(J66="Duplex",VLOOKUP(M66,'Características dos Cabos MX CH'!$C$12:$I$14,3),(IF(J66="Triplex",VLOOKUP(M66,'Características dos Cabos MX CH'!$C$15:$J$20,3),(IF(J66="Quadruplex",VLOOKUP(M66,'Características dos Cabos MX CH'!$C$21:$K$27,3),(IF(J66="13",VLOOKUP(M66,'Características dos Cabos MX CH'!$C$15:$L$20,3),"")))))))</f>
        <v/>
      </c>
      <c r="W66" s="215" t="str">
        <f t="shared" si="18"/>
        <v/>
      </c>
      <c r="X66" s="215" t="str">
        <f t="shared" si="19"/>
        <v/>
      </c>
      <c r="Y66" s="216" t="str">
        <f t="shared" si="20"/>
        <v/>
      </c>
      <c r="Z66" s="393" t="str">
        <f>IF(O66="","",VLOOKUP(C66,$D$20:$P$65,13,FALSE))</f>
        <v/>
      </c>
      <c r="AA66" s="396">
        <f t="shared" si="21"/>
        <v>0</v>
      </c>
      <c r="AB66" s="396">
        <f t="shared" si="4"/>
        <v>0</v>
      </c>
      <c r="AC66" s="395"/>
      <c r="AE66" s="357" t="str">
        <f t="shared" si="11"/>
        <v/>
      </c>
      <c r="AF66" s="426">
        <f t="shared" si="15"/>
        <v>0</v>
      </c>
      <c r="AG66" s="420"/>
      <c r="AH66" s="420"/>
      <c r="AO66" s="401"/>
      <c r="AP66" s="413">
        <v>170</v>
      </c>
      <c r="AQ66" s="413">
        <v>2.0699999999999998</v>
      </c>
      <c r="AR66" s="403"/>
    </row>
    <row r="67" spans="1:44" ht="15" customHeight="1">
      <c r="A67" s="696"/>
      <c r="B67" s="698"/>
      <c r="C67" s="562"/>
      <c r="D67" s="567"/>
      <c r="E67" s="372"/>
      <c r="F67" s="189" t="str">
        <f t="shared" si="22"/>
        <v/>
      </c>
      <c r="G67" s="384"/>
      <c r="H67" s="190" t="str">
        <f>IF(AND(E67="",G67=""),"",SUM(F67:G75))</f>
        <v/>
      </c>
      <c r="I67" s="191"/>
      <c r="J67" s="224"/>
      <c r="K67" s="224"/>
      <c r="L67" s="197" t="str">
        <f>IF(J67="Duplex",VLOOKUP(M67,'Características dos Cabos MX CH'!$C$12:$I$14,7),(IF(J67="Triplex",VLOOKUP(M67,'Características dos Cabos MX CH'!$C$15:$J$20,8),(IF(J67="Quadruplex",VLOOKUP(M67,'Características dos Cabos MX CH'!$C$21:$K$27,9),(IF(J67="13",VLOOKUP(M67,'Características dos Cabos MX CH'!$C$15:$L$20,10),"")))))))</f>
        <v/>
      </c>
      <c r="M67" s="350" t="str">
        <f t="shared" si="5"/>
        <v/>
      </c>
      <c r="N67" s="379"/>
      <c r="O67" s="192" t="str">
        <f t="shared" si="17"/>
        <v/>
      </c>
      <c r="P67" s="192" t="str">
        <f>IF(O67="","",SUM($O$66:O67)+$Z$66)</f>
        <v/>
      </c>
      <c r="Q67" s="192" t="str">
        <f t="shared" si="6"/>
        <v/>
      </c>
      <c r="R67" s="193" t="str">
        <f>IF(J67="Duplex",VLOOKUP(M67,'Características dos Cabos MX CH'!$C$12:$I$14,5),(IF(J67="Triplex",VLOOKUP(M67,'Características dos Cabos MX CH'!$C$15:$J$20,5),(IF(J67="Quadruplex",VLOOKUP(M67,'Características dos Cabos MX CH'!$C$21:$K$27,5),(IF(J67="13",VLOOKUP(M67,'Características dos Cabos MX CH'!$C$15:$L$20,5),"")))))))</f>
        <v/>
      </c>
      <c r="S67" s="193" t="str">
        <f>IF(J67="Duplex",VLOOKUP(M67,'Características dos Cabos MX CH'!$C$12:$I$14,6),(IF(J67="Triplex",VLOOKUP(M67,'Características dos Cabos MX CH'!$C$15:$J$20,6),(IF(J67="Quadruplex",VLOOKUP(M67,'Características dos Cabos MX CH'!$C$21:$K$27,6),(IF(J67="13",VLOOKUP(M67,'Características dos Cabos MX CH'!$C$15:$L$20,6),"")))))))</f>
        <v/>
      </c>
      <c r="T67" s="194" t="str">
        <f t="shared" si="13"/>
        <v/>
      </c>
      <c r="U67" s="447" t="str">
        <f>IF(J67="Duplex",VLOOKUP(M67,'Características dos Cabos MX CH'!$C$12:$I$14,2),(IF(J67="Triplex",VLOOKUP(M67,'Características dos Cabos MX CH'!$C$15:$J$20,2),(IF(J67="Quadruplex",VLOOKUP(M67,'Características dos Cabos MX CH'!$C$21:$K$27,2),(IF(J67="13",VLOOKUP(M67,'Características dos Cabos MX CH'!$C$15:$L$20,2),"")))))))</f>
        <v/>
      </c>
      <c r="V67" s="193" t="str">
        <f>IF(J67="Duplex",VLOOKUP(M67,'Características dos Cabos MX CH'!$C$12:$I$14,3),(IF(J67="Triplex",VLOOKUP(M67,'Características dos Cabos MX CH'!$C$15:$J$20,3),(IF(J67="Quadruplex",VLOOKUP(M67,'Características dos Cabos MX CH'!$C$21:$K$27,3),(IF(J67="13",VLOOKUP(M67,'Características dos Cabos MX CH'!$C$15:$L$20,3),"")))))))</f>
        <v/>
      </c>
      <c r="W67" s="195" t="str">
        <f t="shared" si="18"/>
        <v/>
      </c>
      <c r="X67" s="195" t="str">
        <f t="shared" si="19"/>
        <v/>
      </c>
      <c r="Y67" s="196" t="str">
        <f t="shared" si="20"/>
        <v/>
      </c>
      <c r="AA67" s="396">
        <f t="shared" si="21"/>
        <v>0</v>
      </c>
      <c r="AB67" s="396">
        <f t="shared" si="4"/>
        <v>0</v>
      </c>
      <c r="AC67" s="395"/>
      <c r="AE67" s="357" t="str">
        <f t="shared" si="11"/>
        <v/>
      </c>
      <c r="AF67" s="426">
        <f t="shared" si="15"/>
        <v>0</v>
      </c>
      <c r="AG67" s="420"/>
      <c r="AH67" s="420"/>
      <c r="AO67" s="401"/>
      <c r="AP67" s="413">
        <v>180</v>
      </c>
      <c r="AQ67" s="413">
        <v>2.13</v>
      </c>
      <c r="AR67" s="403"/>
    </row>
    <row r="68" spans="1:44" ht="15" customHeight="1">
      <c r="A68" s="696"/>
      <c r="B68" s="698"/>
      <c r="C68" s="568"/>
      <c r="D68" s="567"/>
      <c r="E68" s="372"/>
      <c r="F68" s="189" t="str">
        <f t="shared" si="22"/>
        <v/>
      </c>
      <c r="G68" s="384"/>
      <c r="H68" s="190" t="str">
        <f>IF(AND(E68="",G68=""),"",SUM(F68:G75))</f>
        <v/>
      </c>
      <c r="I68" s="191"/>
      <c r="J68" s="224"/>
      <c r="K68" s="224"/>
      <c r="L68" s="197" t="str">
        <f>IF(J68="Duplex",VLOOKUP(M68,'Características dos Cabos MX CH'!$C$12:$I$14,7),(IF(J68="Triplex",VLOOKUP(M68,'Características dos Cabos MX CH'!$C$15:$J$20,8),(IF(J68="Quadruplex",VLOOKUP(M68,'Características dos Cabos MX CH'!$C$21:$K$27,9),(IF(J68="13",VLOOKUP(M68,'Características dos Cabos MX CH'!$C$15:$L$20,10),"")))))))</f>
        <v/>
      </c>
      <c r="M68" s="350" t="str">
        <f t="shared" si="5"/>
        <v/>
      </c>
      <c r="N68" s="379"/>
      <c r="O68" s="192" t="str">
        <f t="shared" si="17"/>
        <v/>
      </c>
      <c r="P68" s="192" t="str">
        <f>IF(O68="","",SUM($O$66:O68)+$Z$66)</f>
        <v/>
      </c>
      <c r="Q68" s="192" t="str">
        <f t="shared" si="6"/>
        <v/>
      </c>
      <c r="R68" s="193" t="str">
        <f>IF(J68="Duplex",VLOOKUP(M68,'Características dos Cabos MX CH'!$C$12:$I$14,5),(IF(J68="Triplex",VLOOKUP(M68,'Características dos Cabos MX CH'!$C$15:$J$20,5),(IF(J68="Quadruplex",VLOOKUP(M68,'Características dos Cabos MX CH'!$C$21:$K$27,5),(IF(J68="13",VLOOKUP(M68,'Características dos Cabos MX CH'!$C$15:$L$20,5),"")))))))</f>
        <v/>
      </c>
      <c r="S68" s="193" t="str">
        <f>IF(J68="Duplex",VLOOKUP(M68,'Características dos Cabos MX CH'!$C$12:$I$14,6),(IF(J68="Triplex",VLOOKUP(M68,'Características dos Cabos MX CH'!$C$15:$J$20,6),(IF(J68="Quadruplex",VLOOKUP(M68,'Características dos Cabos MX CH'!$C$21:$K$27,6),(IF(J68="13",VLOOKUP(M68,'Características dos Cabos MX CH'!$C$15:$L$20,6),"")))))))</f>
        <v/>
      </c>
      <c r="T68" s="194" t="str">
        <f t="shared" si="13"/>
        <v/>
      </c>
      <c r="U68" s="447" t="str">
        <f>IF(J68="Duplex",VLOOKUP(M68,'Características dos Cabos MX CH'!$C$12:$I$14,2),(IF(J68="Triplex",VLOOKUP(M68,'Características dos Cabos MX CH'!$C$15:$J$20,2),(IF(J68="Quadruplex",VLOOKUP(M68,'Características dos Cabos MX CH'!$C$21:$K$27,2),(IF(J68="13",VLOOKUP(M68,'Características dos Cabos MX CH'!$C$15:$L$20,2),"")))))))</f>
        <v/>
      </c>
      <c r="V68" s="193" t="str">
        <f>IF(J68="Duplex",VLOOKUP(M68,'Características dos Cabos MX CH'!$C$12:$I$14,3),(IF(J68="Triplex",VLOOKUP(M68,'Características dos Cabos MX CH'!$C$15:$J$20,3),(IF(J68="Quadruplex",VLOOKUP(M68,'Características dos Cabos MX CH'!$C$21:$K$27,3),(IF(J68="13",VLOOKUP(M68,'Características dos Cabos MX CH'!$C$15:$L$20,3),"")))))))</f>
        <v/>
      </c>
      <c r="W68" s="195" t="str">
        <f t="shared" si="18"/>
        <v/>
      </c>
      <c r="X68" s="195" t="str">
        <f t="shared" si="19"/>
        <v/>
      </c>
      <c r="Y68" s="196" t="str">
        <f t="shared" si="20"/>
        <v/>
      </c>
      <c r="AA68" s="396">
        <f t="shared" si="21"/>
        <v>0</v>
      </c>
      <c r="AB68" s="396">
        <f t="shared" si="4"/>
        <v>0</v>
      </c>
      <c r="AC68" s="395"/>
      <c r="AE68" s="357" t="str">
        <f t="shared" si="11"/>
        <v/>
      </c>
      <c r="AF68" s="426">
        <f t="shared" si="15"/>
        <v>0</v>
      </c>
      <c r="AG68" s="420"/>
      <c r="AH68" s="420"/>
      <c r="AO68" s="401"/>
      <c r="AP68" s="413">
        <v>190</v>
      </c>
      <c r="AQ68" s="413">
        <v>2.1800000000000002</v>
      </c>
      <c r="AR68" s="403"/>
    </row>
    <row r="69" spans="1:44" ht="15" customHeight="1">
      <c r="A69" s="696"/>
      <c r="B69" s="698"/>
      <c r="C69" s="568"/>
      <c r="D69" s="567"/>
      <c r="E69" s="372"/>
      <c r="F69" s="189" t="str">
        <f t="shared" si="22"/>
        <v/>
      </c>
      <c r="G69" s="384"/>
      <c r="H69" s="190" t="str">
        <f>IF(AND(E69="",G69=""),"",SUM(F69:G75))</f>
        <v/>
      </c>
      <c r="I69" s="191"/>
      <c r="J69" s="224"/>
      <c r="K69" s="224"/>
      <c r="L69" s="197" t="str">
        <f>IF(J69="Duplex",VLOOKUP(M69,'Características dos Cabos MX CH'!$C$12:$I$14,7),(IF(J69="Triplex",VLOOKUP(M69,'Características dos Cabos MX CH'!$C$15:$J$20,8),(IF(J69="Quadruplex",VLOOKUP(M69,'Características dos Cabos MX CH'!$C$21:$K$27,9),(IF(J69="13",VLOOKUP(M69,'Características dos Cabos MX CH'!$C$15:$L$20,10),"")))))))</f>
        <v/>
      </c>
      <c r="M69" s="350" t="str">
        <f t="shared" si="5"/>
        <v/>
      </c>
      <c r="N69" s="377"/>
      <c r="O69" s="192" t="str">
        <f t="shared" si="17"/>
        <v/>
      </c>
      <c r="P69" s="192" t="str">
        <f>IF(O69="","",SUM($O$66:O69)+$Z$66)</f>
        <v/>
      </c>
      <c r="Q69" s="192" t="str">
        <f t="shared" si="6"/>
        <v/>
      </c>
      <c r="R69" s="193" t="str">
        <f>IF(J69="Duplex",VLOOKUP(M69,'Características dos Cabos MX CH'!$C$12:$I$14,5),(IF(J69="Triplex",VLOOKUP(M69,'Características dos Cabos MX CH'!$C$15:$J$20,5),(IF(J69="Quadruplex",VLOOKUP(M69,'Características dos Cabos MX CH'!$C$21:$K$27,5),(IF(J69="13",VLOOKUP(M69,'Características dos Cabos MX CH'!$C$15:$L$20,5),"")))))))</f>
        <v/>
      </c>
      <c r="S69" s="193" t="str">
        <f>IF(J69="Duplex",VLOOKUP(M69,'Características dos Cabos MX CH'!$C$12:$I$14,6),(IF(J69="Triplex",VLOOKUP(M69,'Características dos Cabos MX CH'!$C$15:$J$20,6),(IF(J69="Quadruplex",VLOOKUP(M69,'Características dos Cabos MX CH'!$C$21:$K$27,6),(IF(J69="13",VLOOKUP(M69,'Características dos Cabos MX CH'!$C$15:$L$20,6),"")))))))</f>
        <v/>
      </c>
      <c r="T69" s="194" t="str">
        <f t="shared" si="13"/>
        <v/>
      </c>
      <c r="U69" s="447" t="str">
        <f>IF(J69="Duplex",VLOOKUP(M69,'Características dos Cabos MX CH'!$C$12:$I$14,2),(IF(J69="Triplex",VLOOKUP(M69,'Características dos Cabos MX CH'!$C$15:$J$20,2),(IF(J69="Quadruplex",VLOOKUP(M69,'Características dos Cabos MX CH'!$C$21:$K$27,2),(IF(J69="13",VLOOKUP(M69,'Características dos Cabos MX CH'!$C$15:$L$20,2),"")))))))</f>
        <v/>
      </c>
      <c r="V69" s="193" t="str">
        <f>IF(J69="Duplex",VLOOKUP(M69,'Características dos Cabos MX CH'!$C$12:$I$14,3),(IF(J69="Triplex",VLOOKUP(M69,'Características dos Cabos MX CH'!$C$15:$J$20,3),(IF(J69="Quadruplex",VLOOKUP(M69,'Características dos Cabos MX CH'!$C$21:$K$27,3),(IF(J69="13",VLOOKUP(M69,'Características dos Cabos MX CH'!$C$15:$L$20,3),"")))))))</f>
        <v/>
      </c>
      <c r="W69" s="195" t="str">
        <f t="shared" si="18"/>
        <v/>
      </c>
      <c r="X69" s="195" t="str">
        <f t="shared" si="19"/>
        <v/>
      </c>
      <c r="Y69" s="196" t="str">
        <f t="shared" si="20"/>
        <v/>
      </c>
      <c r="AA69" s="396">
        <f t="shared" si="21"/>
        <v>0</v>
      </c>
      <c r="AB69" s="396">
        <f t="shared" si="4"/>
        <v>0</v>
      </c>
      <c r="AC69" s="395"/>
      <c r="AE69" s="357" t="str">
        <f t="shared" si="11"/>
        <v/>
      </c>
      <c r="AF69" s="426">
        <f t="shared" si="15"/>
        <v>0</v>
      </c>
      <c r="AG69" s="420"/>
      <c r="AH69" s="420"/>
      <c r="AO69" s="401"/>
      <c r="AP69" s="413">
        <v>200</v>
      </c>
      <c r="AQ69" s="413">
        <v>2.2400000000000002</v>
      </c>
      <c r="AR69" s="403"/>
    </row>
    <row r="70" spans="1:44" ht="15" customHeight="1">
      <c r="A70" s="696"/>
      <c r="B70" s="698"/>
      <c r="C70" s="568"/>
      <c r="D70" s="567"/>
      <c r="E70" s="372"/>
      <c r="F70" s="189" t="str">
        <f t="shared" si="22"/>
        <v/>
      </c>
      <c r="G70" s="384"/>
      <c r="H70" s="190" t="str">
        <f>IF(AND(E70="",G70=""),"",SUM(F70:G75))</f>
        <v/>
      </c>
      <c r="I70" s="191"/>
      <c r="J70" s="224"/>
      <c r="K70" s="224"/>
      <c r="L70" s="197" t="str">
        <f>IF(J70="Duplex",VLOOKUP(M70,'Características dos Cabos MX CH'!$C$12:$I$14,7),(IF(J70="Triplex",VLOOKUP(M70,'Características dos Cabos MX CH'!$C$15:$J$20,8),(IF(J70="Quadruplex",VLOOKUP(M70,'Características dos Cabos MX CH'!$C$21:$K$27,9),(IF(J70="13",VLOOKUP(M70,'Características dos Cabos MX CH'!$C$15:$L$20,10),"")))))))</f>
        <v/>
      </c>
      <c r="M70" s="350" t="str">
        <f t="shared" si="5"/>
        <v/>
      </c>
      <c r="N70" s="377"/>
      <c r="O70" s="192" t="str">
        <f t="shared" si="17"/>
        <v/>
      </c>
      <c r="P70" s="192" t="str">
        <f>IF(O70="","",SUM($O$66:O70)+$Z$66)</f>
        <v/>
      </c>
      <c r="Q70" s="192" t="str">
        <f t="shared" si="6"/>
        <v/>
      </c>
      <c r="R70" s="193" t="str">
        <f>IF(J70="Duplex",VLOOKUP(M70,'Características dos Cabos MX CH'!$C$12:$I$14,5),(IF(J70="Triplex",VLOOKUP(M70,'Características dos Cabos MX CH'!$C$15:$J$20,5),(IF(J70="Quadruplex",VLOOKUP(M70,'Características dos Cabos MX CH'!$C$21:$K$27,5),(IF(J70="13",VLOOKUP(M70,'Características dos Cabos MX CH'!$C$15:$L$20,5),"")))))))</f>
        <v/>
      </c>
      <c r="S70" s="193" t="str">
        <f>IF(J70="Duplex",VLOOKUP(M70,'Características dos Cabos MX CH'!$C$12:$I$14,6),(IF(J70="Triplex",VLOOKUP(M70,'Características dos Cabos MX CH'!$C$15:$J$20,6),(IF(J70="Quadruplex",VLOOKUP(M70,'Características dos Cabos MX CH'!$C$21:$K$27,6),(IF(J70="13",VLOOKUP(M70,'Características dos Cabos MX CH'!$C$15:$L$20,6),"")))))))</f>
        <v/>
      </c>
      <c r="T70" s="194" t="str">
        <f t="shared" si="13"/>
        <v/>
      </c>
      <c r="U70" s="447" t="str">
        <f>IF(J70="Duplex",VLOOKUP(M70,'Características dos Cabos MX CH'!$C$12:$I$14,2),(IF(J70="Triplex",VLOOKUP(M70,'Características dos Cabos MX CH'!$C$15:$J$20,2),(IF(J70="Quadruplex",VLOOKUP(M70,'Características dos Cabos MX CH'!$C$21:$K$27,2),(IF(J70="13",VLOOKUP(M70,'Características dos Cabos MX CH'!$C$15:$L$20,2),"")))))))</f>
        <v/>
      </c>
      <c r="V70" s="193" t="str">
        <f>IF(J70="Duplex",VLOOKUP(M70,'Características dos Cabos MX CH'!$C$12:$I$14,3),(IF(J70="Triplex",VLOOKUP(M70,'Características dos Cabos MX CH'!$C$15:$J$20,3),(IF(J70="Quadruplex",VLOOKUP(M70,'Características dos Cabos MX CH'!$C$21:$K$27,3),(IF(J70="13",VLOOKUP(M70,'Características dos Cabos MX CH'!$C$15:$L$20,3),"")))))))</f>
        <v/>
      </c>
      <c r="W70" s="195" t="str">
        <f t="shared" si="18"/>
        <v/>
      </c>
      <c r="X70" s="195" t="str">
        <f t="shared" si="19"/>
        <v/>
      </c>
      <c r="Y70" s="196" t="str">
        <f t="shared" si="20"/>
        <v/>
      </c>
      <c r="AA70" s="396">
        <f t="shared" si="21"/>
        <v>0</v>
      </c>
      <c r="AB70" s="396">
        <f t="shared" si="4"/>
        <v>0</v>
      </c>
      <c r="AC70" s="395"/>
      <c r="AE70" s="357" t="str">
        <f t="shared" si="11"/>
        <v/>
      </c>
      <c r="AF70" s="426">
        <f t="shared" si="15"/>
        <v>0</v>
      </c>
      <c r="AG70" s="420"/>
      <c r="AH70" s="420"/>
      <c r="AO70" s="401"/>
      <c r="AP70" s="413">
        <v>210</v>
      </c>
      <c r="AQ70" s="413">
        <v>2.29</v>
      </c>
      <c r="AR70" s="403"/>
    </row>
    <row r="71" spans="1:44" ht="15" customHeight="1">
      <c r="A71" s="696"/>
      <c r="B71" s="698"/>
      <c r="C71" s="568"/>
      <c r="D71" s="567"/>
      <c r="E71" s="372"/>
      <c r="F71" s="189" t="str">
        <f t="shared" si="22"/>
        <v/>
      </c>
      <c r="G71" s="384"/>
      <c r="H71" s="190" t="str">
        <f>IF(AND(E71="",G71=""),"",SUM(F71:G75))</f>
        <v/>
      </c>
      <c r="I71" s="191"/>
      <c r="J71" s="224"/>
      <c r="K71" s="224"/>
      <c r="L71" s="197" t="str">
        <f>IF(J71="Duplex",VLOOKUP(M71,'Características dos Cabos MX CH'!$C$12:$I$14,7),(IF(J71="Triplex",VLOOKUP(M71,'Características dos Cabos MX CH'!$C$15:$J$20,8),(IF(J71="Quadruplex",VLOOKUP(M71,'Características dos Cabos MX CH'!$C$21:$K$27,9),(IF(J71="13",VLOOKUP(M71,'Características dos Cabos MX CH'!$C$15:$L$20,10),"")))))))</f>
        <v/>
      </c>
      <c r="M71" s="350" t="str">
        <f t="shared" si="5"/>
        <v/>
      </c>
      <c r="N71" s="377"/>
      <c r="O71" s="192" t="str">
        <f t="shared" si="17"/>
        <v/>
      </c>
      <c r="P71" s="192" t="str">
        <f>IF(O71="","",SUM($O$66:O71)+$Z$66)</f>
        <v/>
      </c>
      <c r="Q71" s="192" t="str">
        <f t="shared" si="6"/>
        <v/>
      </c>
      <c r="R71" s="193" t="str">
        <f>IF(J71="Duplex",VLOOKUP(M71,'Características dos Cabos MX CH'!$C$12:$I$14,5),(IF(J71="Triplex",VLOOKUP(M71,'Características dos Cabos MX CH'!$C$15:$J$20,5),(IF(J71="Quadruplex",VLOOKUP(M71,'Características dos Cabos MX CH'!$C$21:$K$27,5),(IF(J71="13",VLOOKUP(M71,'Características dos Cabos MX CH'!$C$15:$L$20,5),"")))))))</f>
        <v/>
      </c>
      <c r="S71" s="193" t="str">
        <f>IF(J71="Duplex",VLOOKUP(M71,'Características dos Cabos MX CH'!$C$12:$I$14,6),(IF(J71="Triplex",VLOOKUP(M71,'Características dos Cabos MX CH'!$C$15:$J$20,6),(IF(J71="Quadruplex",VLOOKUP(M71,'Características dos Cabos MX CH'!$C$21:$K$27,6),(IF(J71="13",VLOOKUP(M71,'Características dos Cabos MX CH'!$C$15:$L$20,6),"")))))))</f>
        <v/>
      </c>
      <c r="T71" s="194" t="str">
        <f t="shared" si="13"/>
        <v/>
      </c>
      <c r="U71" s="447" t="str">
        <f>IF(J71="Duplex",VLOOKUP(M71,'Características dos Cabos MX CH'!$C$12:$I$14,2),(IF(J71="Triplex",VLOOKUP(M71,'Características dos Cabos MX CH'!$C$15:$J$20,2),(IF(J71="Quadruplex",VLOOKUP(M71,'Características dos Cabos MX CH'!$C$21:$K$27,2),(IF(J71="13",VLOOKUP(M71,'Características dos Cabos MX CH'!$C$15:$L$20,2),"")))))))</f>
        <v/>
      </c>
      <c r="V71" s="193" t="str">
        <f>IF(J71="Duplex",VLOOKUP(M71,'Características dos Cabos MX CH'!$C$12:$I$14,3),(IF(J71="Triplex",VLOOKUP(M71,'Características dos Cabos MX CH'!$C$15:$J$20,3),(IF(J71="Quadruplex",VLOOKUP(M71,'Características dos Cabos MX CH'!$C$21:$K$27,3),(IF(J71="13",VLOOKUP(M71,'Características dos Cabos MX CH'!$C$15:$L$20,3),"")))))))</f>
        <v/>
      </c>
      <c r="W71" s="195" t="str">
        <f t="shared" si="18"/>
        <v/>
      </c>
      <c r="X71" s="195" t="str">
        <f t="shared" si="19"/>
        <v/>
      </c>
      <c r="Y71" s="196" t="str">
        <f t="shared" si="20"/>
        <v/>
      </c>
      <c r="AA71" s="396">
        <f t="shared" si="21"/>
        <v>0</v>
      </c>
      <c r="AB71" s="396">
        <f t="shared" si="4"/>
        <v>0</v>
      </c>
      <c r="AC71" s="395"/>
      <c r="AE71" s="357" t="str">
        <f t="shared" si="11"/>
        <v/>
      </c>
      <c r="AF71" s="426">
        <f t="shared" si="15"/>
        <v>0</v>
      </c>
      <c r="AG71" s="420"/>
      <c r="AH71" s="420"/>
      <c r="AO71" s="401"/>
      <c r="AP71" s="413">
        <v>220</v>
      </c>
      <c r="AQ71" s="413">
        <v>2.34</v>
      </c>
      <c r="AR71" s="403"/>
    </row>
    <row r="72" spans="1:44" ht="15" customHeight="1">
      <c r="A72" s="696"/>
      <c r="B72" s="698"/>
      <c r="C72" s="568"/>
      <c r="D72" s="567"/>
      <c r="E72" s="372"/>
      <c r="F72" s="189" t="str">
        <f t="shared" si="22"/>
        <v/>
      </c>
      <c r="G72" s="384"/>
      <c r="H72" s="190" t="str">
        <f>IF(AND(E72="",G72=""),"",SUM(F72:G75))</f>
        <v/>
      </c>
      <c r="I72" s="191"/>
      <c r="J72" s="222"/>
      <c r="K72" s="222"/>
      <c r="L72" s="197" t="str">
        <f>IF(J72="Duplex",VLOOKUP(M72,'Características dos Cabos MX CH'!$C$12:$I$14,7),(IF(J72="Triplex",VLOOKUP(M72,'Características dos Cabos MX CH'!$C$15:$J$20,8),(IF(J72="Quadruplex",VLOOKUP(M72,'Características dos Cabos MX CH'!$C$21:$K$27,9),(IF(J72="13",VLOOKUP(M72,'Características dos Cabos MX CH'!$C$15:$L$20,10),"")))))))</f>
        <v/>
      </c>
      <c r="M72" s="350" t="str">
        <f t="shared" si="5"/>
        <v/>
      </c>
      <c r="N72" s="377"/>
      <c r="O72" s="192" t="str">
        <f t="shared" si="17"/>
        <v/>
      </c>
      <c r="P72" s="192" t="str">
        <f>IF(O72="","",SUM($O$66:O72)+$Z$66)</f>
        <v/>
      </c>
      <c r="Q72" s="192" t="str">
        <f t="shared" si="6"/>
        <v/>
      </c>
      <c r="R72" s="193" t="str">
        <f>IF(J72="Duplex",VLOOKUP(M72,'Características dos Cabos MX CH'!$C$12:$I$14,5),(IF(J72="Triplex",VLOOKUP(M72,'Características dos Cabos MX CH'!$C$15:$J$20,5),(IF(J72="Quadruplex",VLOOKUP(M72,'Características dos Cabos MX CH'!$C$21:$K$27,5),(IF(J72="13",VLOOKUP(M72,'Características dos Cabos MX CH'!$C$15:$L$20,5),"")))))))</f>
        <v/>
      </c>
      <c r="S72" s="193" t="str">
        <f>IF(J72="Duplex",VLOOKUP(M72,'Características dos Cabos MX CH'!$C$12:$I$14,6),(IF(J72="Triplex",VLOOKUP(M72,'Características dos Cabos MX CH'!$C$15:$J$20,6),(IF(J72="Quadruplex",VLOOKUP(M72,'Características dos Cabos MX CH'!$C$21:$K$27,6),(IF(J72="13",VLOOKUP(M72,'Características dos Cabos MX CH'!$C$15:$L$20,6),"")))))))</f>
        <v/>
      </c>
      <c r="T72" s="194" t="str">
        <f t="shared" si="13"/>
        <v/>
      </c>
      <c r="U72" s="447" t="str">
        <f>IF(J72="Duplex",VLOOKUP(M72,'Características dos Cabos MX CH'!$C$12:$I$14,2),(IF(J72="Triplex",VLOOKUP(M72,'Características dos Cabos MX CH'!$C$15:$J$20,2),(IF(J72="Quadruplex",VLOOKUP(M72,'Características dos Cabos MX CH'!$C$21:$K$27,2),(IF(J72="13",VLOOKUP(M72,'Características dos Cabos MX CH'!$C$15:$L$20,2),"")))))))</f>
        <v/>
      </c>
      <c r="V72" s="193" t="str">
        <f>IF(J72="Duplex",VLOOKUP(M72,'Características dos Cabos MX CH'!$C$12:$I$14,3),(IF(J72="Triplex",VLOOKUP(M72,'Características dos Cabos MX CH'!$C$15:$J$20,3),(IF(J72="Quadruplex",VLOOKUP(M72,'Características dos Cabos MX CH'!$C$21:$K$27,3),(IF(J72="13",VLOOKUP(M72,'Características dos Cabos MX CH'!$C$15:$L$20,3),"")))))))</f>
        <v/>
      </c>
      <c r="W72" s="195" t="str">
        <f t="shared" si="18"/>
        <v/>
      </c>
      <c r="X72" s="195" t="str">
        <f t="shared" si="19"/>
        <v/>
      </c>
      <c r="Y72" s="196" t="str">
        <f t="shared" si="20"/>
        <v/>
      </c>
      <c r="AA72" s="396">
        <f t="shared" si="21"/>
        <v>0</v>
      </c>
      <c r="AB72" s="396">
        <f t="shared" si="4"/>
        <v>0</v>
      </c>
      <c r="AC72" s="395"/>
      <c r="AE72" s="357" t="str">
        <f t="shared" si="11"/>
        <v/>
      </c>
      <c r="AF72" s="426">
        <f t="shared" si="15"/>
        <v>0</v>
      </c>
      <c r="AG72" s="420"/>
      <c r="AH72" s="420"/>
      <c r="AO72" s="401"/>
      <c r="AP72" s="413">
        <v>230</v>
      </c>
      <c r="AQ72" s="413">
        <v>2.40</v>
      </c>
      <c r="AR72" s="403"/>
    </row>
    <row r="73" spans="1:44" ht="15" customHeight="1">
      <c r="A73" s="696"/>
      <c r="B73" s="698"/>
      <c r="C73" s="568"/>
      <c r="D73" s="368"/>
      <c r="E73" s="372"/>
      <c r="F73" s="189" t="str">
        <f t="shared" si="22"/>
        <v/>
      </c>
      <c r="G73" s="384"/>
      <c r="H73" s="190" t="str">
        <f>IF(AND(E73="",G73=""),"",SUM(F73:G75))</f>
        <v/>
      </c>
      <c r="I73" s="191"/>
      <c r="J73" s="222"/>
      <c r="K73" s="222"/>
      <c r="L73" s="197" t="str">
        <f>IF(J73="Duplex",VLOOKUP(M73,'Características dos Cabos MX CH'!$C$12:$I$14,7),(IF(J73="Triplex",VLOOKUP(M73,'Características dos Cabos MX CH'!$C$15:$J$20,8),(IF(J73="Quadruplex",VLOOKUP(M73,'Características dos Cabos MX CH'!$C$21:$K$27,9),(IF(J73="13",VLOOKUP(M73,'Características dos Cabos MX CH'!$C$15:$L$20,10),"")))))))</f>
        <v/>
      </c>
      <c r="M73" s="350" t="str">
        <f t="shared" si="5"/>
        <v/>
      </c>
      <c r="N73" s="377"/>
      <c r="O73" s="192" t="str">
        <f t="shared" si="17"/>
        <v/>
      </c>
      <c r="P73" s="192" t="str">
        <f>IF(O73="","",SUM($O$66:O73)+$Z$66)</f>
        <v/>
      </c>
      <c r="Q73" s="192" t="str">
        <f t="shared" si="6"/>
        <v/>
      </c>
      <c r="R73" s="193" t="str">
        <f>IF(J73="Duplex",VLOOKUP(M73,'Características dos Cabos MX CH'!$C$12:$I$14,5),(IF(J73="Triplex",VLOOKUP(M73,'Características dos Cabos MX CH'!$C$15:$J$20,5),(IF(J73="Quadruplex",VLOOKUP(M73,'Características dos Cabos MX CH'!$C$21:$K$27,5),(IF(J73="13",VLOOKUP(M73,'Características dos Cabos MX CH'!$C$15:$L$20,5),"")))))))</f>
        <v/>
      </c>
      <c r="S73" s="193" t="str">
        <f>IF(J73="Duplex",VLOOKUP(M73,'Características dos Cabos MX CH'!$C$12:$I$14,6),(IF(J73="Triplex",VLOOKUP(M73,'Características dos Cabos MX CH'!$C$15:$J$20,6),(IF(J73="Quadruplex",VLOOKUP(M73,'Características dos Cabos MX CH'!$C$21:$K$27,6),(IF(J73="13",VLOOKUP(M73,'Características dos Cabos MX CH'!$C$15:$L$20,6),"")))))))</f>
        <v/>
      </c>
      <c r="T73" s="194" t="str">
        <f t="shared" si="13"/>
        <v/>
      </c>
      <c r="U73" s="447" t="str">
        <f>IF(J73="Duplex",VLOOKUP(M73,'Características dos Cabos MX CH'!$C$12:$I$14,2),(IF(J73="Triplex",VLOOKUP(M73,'Características dos Cabos MX CH'!$C$15:$J$20,2),(IF(J73="Quadruplex",VLOOKUP(M73,'Características dos Cabos MX CH'!$C$21:$K$27,2),(IF(J73="13",VLOOKUP(M73,'Características dos Cabos MX CH'!$C$15:$L$20,2),"")))))))</f>
        <v/>
      </c>
      <c r="V73" s="193" t="str">
        <f>IF(J73="Duplex",VLOOKUP(M73,'Características dos Cabos MX CH'!$C$12:$I$14,3),(IF(J73="Triplex",VLOOKUP(M73,'Características dos Cabos MX CH'!$C$15:$J$20,3),(IF(J73="Quadruplex",VLOOKUP(M73,'Características dos Cabos MX CH'!$C$21:$K$27,3),(IF(J73="13",VLOOKUP(M73,'Características dos Cabos MX CH'!$C$15:$L$20,3),"")))))))</f>
        <v/>
      </c>
      <c r="W73" s="195" t="str">
        <f t="shared" si="18"/>
        <v/>
      </c>
      <c r="X73" s="195" t="str">
        <f t="shared" si="19"/>
        <v/>
      </c>
      <c r="Y73" s="196" t="str">
        <f t="shared" si="20"/>
        <v/>
      </c>
      <c r="AA73" s="396">
        <f t="shared" si="21"/>
        <v>0</v>
      </c>
      <c r="AB73" s="396">
        <f t="shared" si="4"/>
        <v>0</v>
      </c>
      <c r="AC73" s="395"/>
      <c r="AE73" s="357" t="str">
        <f t="shared" si="11"/>
        <v/>
      </c>
      <c r="AF73" s="426">
        <f t="shared" si="15"/>
        <v>0</v>
      </c>
      <c r="AG73" s="420"/>
      <c r="AH73" s="420"/>
      <c r="AO73" s="401"/>
      <c r="AP73" s="413">
        <v>240</v>
      </c>
      <c r="AQ73" s="413">
        <v>2.4500000000000002</v>
      </c>
      <c r="AR73" s="403"/>
    </row>
    <row r="74" spans="1:44" ht="15" customHeight="1">
      <c r="A74" s="696"/>
      <c r="B74" s="698"/>
      <c r="C74" s="568"/>
      <c r="D74" s="368"/>
      <c r="E74" s="372"/>
      <c r="F74" s="189" t="str">
        <f t="shared" si="22"/>
        <v/>
      </c>
      <c r="G74" s="384"/>
      <c r="H74" s="190" t="str">
        <f>IF(AND(E74="",G74=""),"",SUM(F74:G75))</f>
        <v/>
      </c>
      <c r="I74" s="191"/>
      <c r="J74" s="222"/>
      <c r="K74" s="222"/>
      <c r="L74" s="197" t="str">
        <f>IF(J74="Duplex",VLOOKUP(M74,'Características dos Cabos MX CH'!$C$12:$I$14,7),(IF(J74="Triplex",VLOOKUP(M74,'Características dos Cabos MX CH'!$C$15:$J$20,8),(IF(J74="Quadruplex",VLOOKUP(M74,'Características dos Cabos MX CH'!$C$21:$K$27,9),(IF(J74="13",VLOOKUP(M74,'Características dos Cabos MX CH'!$C$15:$L$20,10),"")))))))</f>
        <v/>
      </c>
      <c r="M74" s="350" t="str">
        <f t="shared" si="5"/>
        <v/>
      </c>
      <c r="N74" s="377"/>
      <c r="O74" s="192" t="str">
        <f t="shared" si="17"/>
        <v/>
      </c>
      <c r="P74" s="192" t="str">
        <f>IF(O74="","",SUM($O$66:O74)+$Z$66)</f>
        <v/>
      </c>
      <c r="Q74" s="192" t="str">
        <f t="shared" si="6"/>
        <v/>
      </c>
      <c r="R74" s="193" t="str">
        <f>IF(J74="Duplex",VLOOKUP(M74,'Características dos Cabos MX CH'!$C$12:$I$14,5),(IF(J74="Triplex",VLOOKUP(M74,'Características dos Cabos MX CH'!$C$15:$J$20,5),(IF(J74="Quadruplex",VLOOKUP(M74,'Características dos Cabos MX CH'!$C$21:$K$27,5),(IF(J74="13",VLOOKUP(M74,'Características dos Cabos MX CH'!$C$15:$L$20,5),"")))))))</f>
        <v/>
      </c>
      <c r="S74" s="193" t="str">
        <f>IF(J74="Duplex",VLOOKUP(M74,'Características dos Cabos MX CH'!$C$12:$I$14,6),(IF(J74="Triplex",VLOOKUP(M74,'Características dos Cabos MX CH'!$C$15:$J$20,6),(IF(J74="Quadruplex",VLOOKUP(M74,'Características dos Cabos MX CH'!$C$21:$K$27,6),(IF(J74="13",VLOOKUP(M74,'Características dos Cabos MX CH'!$C$15:$L$20,6),"")))))))</f>
        <v/>
      </c>
      <c r="T74" s="194" t="str">
        <f t="shared" si="13"/>
        <v/>
      </c>
      <c r="U74" s="447" t="str">
        <f>IF(J74="Duplex",VLOOKUP(M74,'Características dos Cabos MX CH'!$C$12:$I$14,2),(IF(J74="Triplex",VLOOKUP(M74,'Características dos Cabos MX CH'!$C$15:$J$20,2),(IF(J74="Quadruplex",VLOOKUP(M74,'Características dos Cabos MX CH'!$C$21:$K$27,2),(IF(J74="13",VLOOKUP(M74,'Características dos Cabos MX CH'!$C$15:$L$20,2),"")))))))</f>
        <v/>
      </c>
      <c r="V74" s="193" t="str">
        <f>IF(J74="Duplex",VLOOKUP(M74,'Características dos Cabos MX CH'!$C$12:$I$14,3),(IF(J74="Triplex",VLOOKUP(M74,'Características dos Cabos MX CH'!$C$15:$J$20,3),(IF(J74="Quadruplex",VLOOKUP(M74,'Características dos Cabos MX CH'!$C$21:$K$27,3),(IF(J74="13",VLOOKUP(M74,'Características dos Cabos MX CH'!$C$15:$L$20,3),"")))))))</f>
        <v/>
      </c>
      <c r="W74" s="195" t="str">
        <f t="shared" si="18"/>
        <v/>
      </c>
      <c r="X74" s="195" t="str">
        <f t="shared" si="19"/>
        <v/>
      </c>
      <c r="Y74" s="196" t="str">
        <f t="shared" si="20"/>
        <v/>
      </c>
      <c r="AA74" s="396">
        <f t="shared" si="21"/>
        <v>0</v>
      </c>
      <c r="AB74" s="396">
        <f t="shared" si="4"/>
        <v>0</v>
      </c>
      <c r="AC74" s="395"/>
      <c r="AE74" s="357" t="str">
        <f t="shared" si="11"/>
        <v/>
      </c>
      <c r="AF74" s="426">
        <f t="shared" si="15"/>
        <v>0</v>
      </c>
      <c r="AG74" s="420"/>
      <c r="AH74" s="420"/>
      <c r="AO74" s="401"/>
      <c r="AP74" s="413">
        <v>250</v>
      </c>
      <c r="AQ74" s="413">
        <v>2.50</v>
      </c>
      <c r="AR74" s="403"/>
    </row>
    <row r="75" spans="1:44" ht="15" customHeight="1" thickBot="1">
      <c r="A75" s="696"/>
      <c r="B75" s="699"/>
      <c r="C75" s="568"/>
      <c r="D75" s="370"/>
      <c r="E75" s="369"/>
      <c r="F75" s="199" t="str">
        <f t="shared" si="22"/>
        <v/>
      </c>
      <c r="G75" s="385"/>
      <c r="H75" s="200" t="str">
        <f>IF(AND(E75="",G75=""),"",SUM(F75:G75))</f>
        <v/>
      </c>
      <c r="I75" s="201"/>
      <c r="J75" s="223"/>
      <c r="K75" s="223"/>
      <c r="L75" s="202" t="str">
        <f>IF(J75="Duplex",VLOOKUP(M75,'Características dos Cabos MX CH'!$C$12:$I$14,7),(IF(J75="Triplex",VLOOKUP(M75,'Características dos Cabos MX CH'!$C$15:$J$20,8),(IF(J75="Quadruplex",VLOOKUP(M75,'Características dos Cabos MX CH'!$C$21:$K$27,9),(IF(J75="13",VLOOKUP(M75,'Características dos Cabos MX CH'!$C$15:$L$20,10),"")))))))</f>
        <v/>
      </c>
      <c r="M75" s="353" t="str">
        <f t="shared" si="5"/>
        <v/>
      </c>
      <c r="N75" s="378"/>
      <c r="O75" s="203" t="str">
        <f t="shared" si="17"/>
        <v/>
      </c>
      <c r="P75" s="192" t="str">
        <f>IF(O75="","",SUM($O$66:O75)+$Z$66)</f>
        <v/>
      </c>
      <c r="Q75" s="203" t="str">
        <f t="shared" si="6"/>
        <v/>
      </c>
      <c r="R75" s="204" t="str">
        <f>IF(J75="Duplex",VLOOKUP(M75,'Características dos Cabos MX CH'!$C$12:$I$14,5),(IF(J75="Triplex",VLOOKUP(M75,'Características dos Cabos MX CH'!$C$15:$J$20,5),(IF(J75="Quadruplex",VLOOKUP(M75,'Características dos Cabos MX CH'!$C$21:$K$27,5),(IF(J75="13",VLOOKUP(M75,'Características dos Cabos MX CH'!$C$15:$L$20,5),"")))))))</f>
        <v/>
      </c>
      <c r="S75" s="204" t="str">
        <f>IF(J75="Duplex",VLOOKUP(M75,'Características dos Cabos MX CH'!$C$12:$I$14,6),(IF(J75="Triplex",VLOOKUP(M75,'Características dos Cabos MX CH'!$C$15:$J$20,6),(IF(J75="Quadruplex",VLOOKUP(M75,'Características dos Cabos MX CH'!$C$21:$K$27,6),(IF(J75="13",VLOOKUP(M75,'Características dos Cabos MX CH'!$C$15:$L$20,6),"")))))))</f>
        <v/>
      </c>
      <c r="T75" s="205" t="str">
        <f t="shared" si="13"/>
        <v/>
      </c>
      <c r="U75" s="448" t="str">
        <f>IF(J75="Duplex",VLOOKUP(M75,'Características dos Cabos MX CH'!$C$12:$I$14,2),(IF(J75="Triplex",VLOOKUP(M75,'Características dos Cabos MX CH'!$C$15:$J$20,2),(IF(J75="Quadruplex",VLOOKUP(M75,'Características dos Cabos MX CH'!$C$21:$K$27,2),(IF(J75="13",VLOOKUP(M75,'Características dos Cabos MX CH'!$C$15:$L$20,2),"")))))))</f>
        <v/>
      </c>
      <c r="V75" s="204" t="str">
        <f>IF(J75="Duplex",VLOOKUP(M75,'Características dos Cabos MX CH'!$C$12:$I$14,3),(IF(J75="Triplex",VLOOKUP(M75,'Características dos Cabos MX CH'!$C$15:$J$20,3),(IF(J75="Quadruplex",VLOOKUP(M75,'Características dos Cabos MX CH'!$C$21:$K$27,3),(IF(J75="13",VLOOKUP(M75,'Características dos Cabos MX CH'!$C$15:$L$20,3),"")))))))</f>
        <v/>
      </c>
      <c r="W75" s="206" t="str">
        <f t="shared" si="18"/>
        <v/>
      </c>
      <c r="X75" s="206" t="str">
        <f t="shared" si="19"/>
        <v/>
      </c>
      <c r="Y75" s="207" t="str">
        <f t="shared" si="20"/>
        <v/>
      </c>
      <c r="AA75" s="396">
        <f t="shared" si="21"/>
        <v>0</v>
      </c>
      <c r="AB75" s="396">
        <f t="shared" si="4"/>
        <v>0</v>
      </c>
      <c r="AC75" s="395"/>
      <c r="AE75" s="357" t="str">
        <f t="shared" si="11"/>
        <v/>
      </c>
      <c r="AF75" s="426">
        <f t="shared" si="15"/>
        <v>0</v>
      </c>
      <c r="AG75" s="420"/>
      <c r="AH75" s="420"/>
      <c r="AO75" s="401"/>
      <c r="AP75" s="413">
        <v>260</v>
      </c>
      <c r="AQ75" s="413">
        <v>2.5499999999999998</v>
      </c>
      <c r="AR75" s="403"/>
    </row>
    <row r="76" spans="1:44" ht="15" customHeight="1" thickTop="1">
      <c r="A76" s="696"/>
      <c r="B76" s="700" t="str">
        <f>CONCATENATE("Ramal 4 - Derivando no ponto ",C76)</f>
        <v xml:space="preserve">Ramal 4 - Derivando no ponto </v>
      </c>
      <c r="C76" s="572"/>
      <c r="D76" s="573"/>
      <c r="E76" s="374"/>
      <c r="F76" s="208" t="str">
        <f t="shared" si="22"/>
        <v/>
      </c>
      <c r="G76" s="386"/>
      <c r="H76" s="209" t="str">
        <f>IF(AND(E76="",G76=""),"",SUM(F76:G85))</f>
        <v/>
      </c>
      <c r="I76" s="210"/>
      <c r="J76" s="224"/>
      <c r="K76" s="224"/>
      <c r="L76" s="211" t="str">
        <f>IF(J76="Duplex",VLOOKUP(M76,'Características dos Cabos MX CH'!$C$12:$I$14,7),(IF(J76="Triplex",VLOOKUP(M76,'Características dos Cabos MX CH'!$C$15:$J$20,8),(IF(J76="Quadruplex",VLOOKUP(M76,'Características dos Cabos MX CH'!$C$21:$K$27,9),(IF(J76="13",VLOOKUP(M76,'Características dos Cabos MX CH'!$C$15:$L$20,10),"")))))))</f>
        <v/>
      </c>
      <c r="M76" s="354" t="str">
        <f t="shared" si="5"/>
        <v/>
      </c>
      <c r="N76" s="379"/>
      <c r="O76" s="212" t="str">
        <f t="shared" si="17"/>
        <v/>
      </c>
      <c r="P76" s="217" t="str">
        <f>IF(O76="","",O76+VLOOKUP(C76,$D$20:$Q$75,13,FALSE))</f>
        <v/>
      </c>
      <c r="Q76" s="212" t="str">
        <f t="shared" si="6"/>
        <v/>
      </c>
      <c r="R76" s="213" t="str">
        <f>IF(J76="Duplex",VLOOKUP(M76,'Características dos Cabos MX CH'!$C$12:$I$14,5),(IF(J76="Triplex",VLOOKUP(M76,'Características dos Cabos MX CH'!$C$15:$J$20,5),(IF(J76="Quadruplex",VLOOKUP(M76,'Características dos Cabos MX CH'!$C$21:$K$27,5),(IF(J76="13",VLOOKUP(M76,'Características dos Cabos MX CH'!$C$15:$L$20,5),"")))))))</f>
        <v/>
      </c>
      <c r="S76" s="213" t="str">
        <f>IF(J76="Duplex",VLOOKUP(M76,'Características dos Cabos MX CH'!$C$12:$I$14,6),(IF(J76="Triplex",VLOOKUP(M76,'Características dos Cabos MX CH'!$C$15:$J$20,6),(IF(J76="Quadruplex",VLOOKUP(M76,'Características dos Cabos MX CH'!$C$21:$K$27,6),(IF(J76="13",VLOOKUP(M76,'Características dos Cabos MX CH'!$C$15:$L$20,6),"")))))))</f>
        <v/>
      </c>
      <c r="T76" s="214" t="str">
        <f t="shared" si="13"/>
        <v/>
      </c>
      <c r="U76" s="450" t="str">
        <f>IF(J76="Duplex",VLOOKUP(M76,'Características dos Cabos MX CH'!$C$12:$I$14,2),(IF(J76="Triplex",VLOOKUP(M76,'Características dos Cabos MX CH'!$C$15:$J$20,2),(IF(J76="Quadruplex",VLOOKUP(M76,'Características dos Cabos MX CH'!$C$21:$K$27,2),(IF(J76="13",VLOOKUP(M76,'Características dos Cabos MX CH'!$C$15:$L$20,2),"")))))))</f>
        <v/>
      </c>
      <c r="V76" s="213" t="str">
        <f>IF(J76="Duplex",VLOOKUP(M76,'Características dos Cabos MX CH'!$C$12:$I$14,3),(IF(J76="Triplex",VLOOKUP(M76,'Características dos Cabos MX CH'!$C$15:$J$20,3),(IF(J76="Quadruplex",VLOOKUP(M76,'Características dos Cabos MX CH'!$C$21:$K$27,3),(IF(J76="13",VLOOKUP(M76,'Características dos Cabos MX CH'!$C$15:$L$20,3),"")))))))</f>
        <v/>
      </c>
      <c r="W76" s="215" t="str">
        <f t="shared" si="18"/>
        <v/>
      </c>
      <c r="X76" s="215" t="str">
        <f t="shared" si="19"/>
        <v/>
      </c>
      <c r="Y76" s="216" t="str">
        <f t="shared" si="20"/>
        <v/>
      </c>
      <c r="Z76" s="393" t="str">
        <f>IF(O76="","",VLOOKUP(C76,$D$20:$P$75,13,FALSE))</f>
        <v/>
      </c>
      <c r="AA76" s="396">
        <f t="shared" si="21"/>
        <v>0</v>
      </c>
      <c r="AB76" s="396">
        <f t="shared" si="4"/>
        <v>0</v>
      </c>
      <c r="AC76" s="395"/>
      <c r="AE76" s="357" t="str">
        <f t="shared" si="11"/>
        <v/>
      </c>
      <c r="AF76" s="426">
        <f t="shared" si="15"/>
        <v>0</v>
      </c>
      <c r="AG76" s="420"/>
      <c r="AH76" s="420"/>
      <c r="AO76" s="401"/>
      <c r="AP76" s="413">
        <v>270</v>
      </c>
      <c r="AQ76" s="413">
        <v>2.61</v>
      </c>
      <c r="AR76" s="403"/>
    </row>
    <row r="77" spans="1:44" ht="15" customHeight="1">
      <c r="A77" s="696"/>
      <c r="B77" s="698"/>
      <c r="C77" s="562"/>
      <c r="D77" s="567"/>
      <c r="E77" s="372"/>
      <c r="F77" s="189" t="str">
        <f t="shared" si="22"/>
        <v/>
      </c>
      <c r="G77" s="384"/>
      <c r="H77" s="190" t="str">
        <f>IF(AND(E77="",G77=""),"",SUM(F77:G85))</f>
        <v/>
      </c>
      <c r="I77" s="191"/>
      <c r="J77" s="222"/>
      <c r="K77" s="222"/>
      <c r="L77" s="197" t="str">
        <f>IF(J77="Duplex",VLOOKUP(M77,'Características dos Cabos MX CH'!$C$12:$I$14,7),(IF(J77="Triplex",VLOOKUP(M77,'Características dos Cabos MX CH'!$C$15:$J$20,8),(IF(J77="Quadruplex",VLOOKUP(M77,'Características dos Cabos MX CH'!$C$21:$K$27,9),(IF(J77="13",VLOOKUP(M77,'Características dos Cabos MX CH'!$C$15:$L$20,10),"")))))))</f>
        <v/>
      </c>
      <c r="M77" s="350" t="str">
        <f t="shared" si="5"/>
        <v/>
      </c>
      <c r="N77" s="377"/>
      <c r="O77" s="192" t="str">
        <f t="shared" si="17"/>
        <v/>
      </c>
      <c r="P77" s="192" t="str">
        <f>IF(O77="","",SUM($O$76:O77)+$Z$76)</f>
        <v/>
      </c>
      <c r="Q77" s="192" t="str">
        <f t="shared" si="6"/>
        <v/>
      </c>
      <c r="R77" s="193" t="str">
        <f>IF(J77="Duplex",VLOOKUP(M77,'Características dos Cabos MX CH'!$C$12:$I$14,5),(IF(J77="Triplex",VLOOKUP(M77,'Características dos Cabos MX CH'!$C$15:$J$20,5),(IF(J77="Quadruplex",VLOOKUP(M77,'Características dos Cabos MX CH'!$C$21:$K$27,5),(IF(J77="13",VLOOKUP(M77,'Características dos Cabos MX CH'!$C$15:$L$20,5),"")))))))</f>
        <v/>
      </c>
      <c r="S77" s="193" t="str">
        <f>IF(J77="Duplex",VLOOKUP(M77,'Características dos Cabos MX CH'!$C$12:$I$14,6),(IF(J77="Triplex",VLOOKUP(M77,'Características dos Cabos MX CH'!$C$15:$J$20,6),(IF(J77="Quadruplex",VLOOKUP(M77,'Características dos Cabos MX CH'!$C$21:$K$27,6),(IF(J77="13",VLOOKUP(M77,'Características dos Cabos MX CH'!$C$15:$L$20,6),"")))))))</f>
        <v/>
      </c>
      <c r="T77" s="194" t="str">
        <f t="shared" si="13"/>
        <v/>
      </c>
      <c r="U77" s="447" t="str">
        <f>IF(J77="Duplex",VLOOKUP(M77,'Características dos Cabos MX CH'!$C$12:$I$14,2),(IF(J77="Triplex",VLOOKUP(M77,'Características dos Cabos MX CH'!$C$15:$J$20,2),(IF(J77="Quadruplex",VLOOKUP(M77,'Características dos Cabos MX CH'!$C$21:$K$27,2),(IF(J77="13",VLOOKUP(M77,'Características dos Cabos MX CH'!$C$15:$L$20,2),"")))))))</f>
        <v/>
      </c>
      <c r="V77" s="193" t="str">
        <f>IF(J77="Duplex",VLOOKUP(M77,'Características dos Cabos MX CH'!$C$12:$I$14,3),(IF(J77="Triplex",VLOOKUP(M77,'Características dos Cabos MX CH'!$C$15:$J$20,3),(IF(J77="Quadruplex",VLOOKUP(M77,'Características dos Cabos MX CH'!$C$21:$K$27,3),(IF(J77="13",VLOOKUP(M77,'Características dos Cabos MX CH'!$C$15:$L$20,3),"")))))))</f>
        <v/>
      </c>
      <c r="W77" s="195" t="str">
        <f t="shared" si="18"/>
        <v/>
      </c>
      <c r="X77" s="195" t="str">
        <f t="shared" si="19"/>
        <v/>
      </c>
      <c r="Y77" s="196" t="str">
        <f t="shared" si="20"/>
        <v/>
      </c>
      <c r="AA77" s="396">
        <f t="shared" si="21"/>
        <v>0</v>
      </c>
      <c r="AB77" s="396">
        <f t="shared" si="4"/>
        <v>0</v>
      </c>
      <c r="AC77" s="395"/>
      <c r="AE77" s="357" t="str">
        <f t="shared" si="11"/>
        <v/>
      </c>
      <c r="AF77" s="426">
        <f t="shared" si="15"/>
        <v>0</v>
      </c>
      <c r="AG77" s="420"/>
      <c r="AH77" s="420"/>
      <c r="AO77" s="401"/>
      <c r="AP77" s="413">
        <v>280</v>
      </c>
      <c r="AQ77" s="413">
        <v>2.66</v>
      </c>
      <c r="AR77" s="403"/>
    </row>
    <row r="78" spans="1:44" ht="15" customHeight="1">
      <c r="A78" s="696"/>
      <c r="B78" s="698"/>
      <c r="C78" s="568"/>
      <c r="D78" s="567"/>
      <c r="E78" s="372"/>
      <c r="F78" s="189" t="str">
        <f t="shared" si="22"/>
        <v/>
      </c>
      <c r="G78" s="384"/>
      <c r="H78" s="190" t="str">
        <f>IF(AND(E78="",G78=""),"",SUM(F78:G85))</f>
        <v/>
      </c>
      <c r="I78" s="191"/>
      <c r="J78" s="222"/>
      <c r="K78" s="222"/>
      <c r="L78" s="197" t="str">
        <f>IF(J78="Duplex",VLOOKUP(M78,'Características dos Cabos MX CH'!$C$12:$I$14,7),(IF(J78="Triplex",VLOOKUP(M78,'Características dos Cabos MX CH'!$C$15:$J$20,8),(IF(J78="Quadruplex",VLOOKUP(M78,'Características dos Cabos MX CH'!$C$21:$K$27,9),(IF(J78="13",VLOOKUP(M78,'Características dos Cabos MX CH'!$C$15:$L$20,10),"")))))))</f>
        <v/>
      </c>
      <c r="M78" s="350" t="str">
        <f t="shared" si="5"/>
        <v/>
      </c>
      <c r="N78" s="377"/>
      <c r="O78" s="192" t="str">
        <f t="shared" si="17"/>
        <v/>
      </c>
      <c r="P78" s="192" t="str">
        <f>IF(O78="","",SUM($O$76:O78)+$Z$76)</f>
        <v/>
      </c>
      <c r="Q78" s="192" t="str">
        <f t="shared" si="6"/>
        <v/>
      </c>
      <c r="R78" s="193" t="str">
        <f>IF(J78="Duplex",VLOOKUP(M78,'Características dos Cabos MX CH'!$C$12:$I$14,5),(IF(J78="Triplex",VLOOKUP(M78,'Características dos Cabos MX CH'!$C$15:$J$20,5),(IF(J78="Quadruplex",VLOOKUP(M78,'Características dos Cabos MX CH'!$C$21:$K$27,5),(IF(J78="13",VLOOKUP(M78,'Características dos Cabos MX CH'!$C$15:$L$20,5),"")))))))</f>
        <v/>
      </c>
      <c r="S78" s="193" t="str">
        <f>IF(J78="Duplex",VLOOKUP(M78,'Características dos Cabos MX CH'!$C$12:$I$14,6),(IF(J78="Triplex",VLOOKUP(M78,'Características dos Cabos MX CH'!$C$15:$J$20,6),(IF(J78="Quadruplex",VLOOKUP(M78,'Características dos Cabos MX CH'!$C$21:$K$27,6),(IF(J78="13",VLOOKUP(M78,'Características dos Cabos MX CH'!$C$15:$L$20,6),"")))))))</f>
        <v/>
      </c>
      <c r="T78" s="194" t="str">
        <f t="shared" si="13"/>
        <v/>
      </c>
      <c r="U78" s="447" t="str">
        <f>IF(J78="Duplex",VLOOKUP(M78,'Características dos Cabos MX CH'!$C$12:$I$14,2),(IF(J78="Triplex",VLOOKUP(M78,'Características dos Cabos MX CH'!$C$15:$J$20,2),(IF(J78="Quadruplex",VLOOKUP(M78,'Características dos Cabos MX CH'!$C$21:$K$27,2),(IF(J78="13",VLOOKUP(M78,'Características dos Cabos MX CH'!$C$15:$L$20,2),"")))))))</f>
        <v/>
      </c>
      <c r="V78" s="193" t="str">
        <f>IF(J78="Duplex",VLOOKUP(M78,'Características dos Cabos MX CH'!$C$12:$I$14,3),(IF(J78="Triplex",VLOOKUP(M78,'Características dos Cabos MX CH'!$C$15:$J$20,3),(IF(J78="Quadruplex",VLOOKUP(M78,'Características dos Cabos MX CH'!$C$21:$K$27,3),(IF(J78="13",VLOOKUP(M78,'Características dos Cabos MX CH'!$C$15:$L$20,3),"")))))))</f>
        <v/>
      </c>
      <c r="W78" s="195" t="str">
        <f t="shared" si="18"/>
        <v/>
      </c>
      <c r="X78" s="195" t="str">
        <f t="shared" si="19"/>
        <v/>
      </c>
      <c r="Y78" s="196" t="str">
        <f t="shared" si="20"/>
        <v/>
      </c>
      <c r="AA78" s="396">
        <f t="shared" si="21"/>
        <v>0</v>
      </c>
      <c r="AB78" s="396">
        <f t="shared" si="4"/>
        <v>0</v>
      </c>
      <c r="AC78" s="395"/>
      <c r="AE78" s="357" t="str">
        <f t="shared" si="11"/>
        <v/>
      </c>
      <c r="AF78" s="426">
        <f t="shared" si="15"/>
        <v>0</v>
      </c>
      <c r="AG78" s="420"/>
      <c r="AH78" s="420"/>
      <c r="AO78" s="401"/>
      <c r="AP78" s="413">
        <v>290</v>
      </c>
      <c r="AQ78" s="413">
        <v>2.71</v>
      </c>
      <c r="AR78" s="403"/>
    </row>
    <row r="79" spans="1:44" ht="15" customHeight="1">
      <c r="A79" s="696"/>
      <c r="B79" s="698"/>
      <c r="C79" s="568"/>
      <c r="D79" s="567"/>
      <c r="E79" s="372"/>
      <c r="F79" s="189" t="str">
        <f t="shared" si="22"/>
        <v/>
      </c>
      <c r="G79" s="384"/>
      <c r="H79" s="190" t="str">
        <f>IF(AND(E79="",G79=""),"",SUM(F79:G85))</f>
        <v/>
      </c>
      <c r="I79" s="191"/>
      <c r="J79" s="222"/>
      <c r="K79" s="222"/>
      <c r="L79" s="197" t="str">
        <f>IF(J79="Duplex",VLOOKUP(M79,'Características dos Cabos MX CH'!$C$12:$I$14,7),(IF(J79="Triplex",VLOOKUP(M79,'Características dos Cabos MX CH'!$C$15:$J$20,8),(IF(J79="Quadruplex",VLOOKUP(M79,'Características dos Cabos MX CH'!$C$21:$K$27,9),(IF(J79="13",VLOOKUP(M79,'Características dos Cabos MX CH'!$C$15:$L$20,10),"")))))))</f>
        <v/>
      </c>
      <c r="M79" s="350" t="str">
        <f t="shared" si="5"/>
        <v/>
      </c>
      <c r="N79" s="377"/>
      <c r="O79" s="192" t="str">
        <f t="shared" si="17"/>
        <v/>
      </c>
      <c r="P79" s="192" t="str">
        <f>IF(O79="","",SUM($O$76:O79)+$Z$76)</f>
        <v/>
      </c>
      <c r="Q79" s="192" t="str">
        <f t="shared" si="6"/>
        <v/>
      </c>
      <c r="R79" s="193" t="str">
        <f>IF(J79="Duplex",VLOOKUP(M79,'Características dos Cabos MX CH'!$C$12:$I$14,5),(IF(J79="Triplex",VLOOKUP(M79,'Características dos Cabos MX CH'!$C$15:$J$20,5),(IF(J79="Quadruplex",VLOOKUP(M79,'Características dos Cabos MX CH'!$C$21:$K$27,5),(IF(J79="13",VLOOKUP(M79,'Características dos Cabos MX CH'!$C$15:$L$20,5),"")))))))</f>
        <v/>
      </c>
      <c r="S79" s="193" t="str">
        <f>IF(J79="Duplex",VLOOKUP(M79,'Características dos Cabos MX CH'!$C$12:$I$14,6),(IF(J79="Triplex",VLOOKUP(M79,'Características dos Cabos MX CH'!$C$15:$J$20,6),(IF(J79="Quadruplex",VLOOKUP(M79,'Características dos Cabos MX CH'!$C$21:$K$27,6),(IF(J79="13",VLOOKUP(M79,'Características dos Cabos MX CH'!$C$15:$L$20,6),"")))))))</f>
        <v/>
      </c>
      <c r="T79" s="194" t="str">
        <f t="shared" si="13"/>
        <v/>
      </c>
      <c r="U79" s="447" t="str">
        <f>IF(J79="Duplex",VLOOKUP(M79,'Características dos Cabos MX CH'!$C$12:$I$14,2),(IF(J79="Triplex",VLOOKUP(M79,'Características dos Cabos MX CH'!$C$15:$J$20,2),(IF(J79="Quadruplex",VLOOKUP(M79,'Características dos Cabos MX CH'!$C$21:$K$27,2),(IF(J79="13",VLOOKUP(M79,'Características dos Cabos MX CH'!$C$15:$L$20,2),"")))))))</f>
        <v/>
      </c>
      <c r="V79" s="193" t="str">
        <f>IF(J79="Duplex",VLOOKUP(M79,'Características dos Cabos MX CH'!$C$12:$I$14,3),(IF(J79="Triplex",VLOOKUP(M79,'Características dos Cabos MX CH'!$C$15:$J$20,3),(IF(J79="Quadruplex",VLOOKUP(M79,'Características dos Cabos MX CH'!$C$21:$K$27,3),(IF(J79="13",VLOOKUP(M79,'Características dos Cabos MX CH'!$C$15:$L$20,3),"")))))))</f>
        <v/>
      </c>
      <c r="W79" s="195" t="str">
        <f t="shared" si="18"/>
        <v/>
      </c>
      <c r="X79" s="195" t="str">
        <f t="shared" si="19"/>
        <v/>
      </c>
      <c r="Y79" s="196" t="str">
        <f t="shared" si="20"/>
        <v/>
      </c>
      <c r="AA79" s="396">
        <f t="shared" si="21"/>
        <v>0</v>
      </c>
      <c r="AB79" s="396">
        <f t="shared" si="4"/>
        <v>0</v>
      </c>
      <c r="AC79" s="395"/>
      <c r="AE79" s="357" t="str">
        <f t="shared" si="11"/>
        <v/>
      </c>
      <c r="AF79" s="426">
        <f t="shared" si="15"/>
        <v>0</v>
      </c>
      <c r="AG79" s="420"/>
      <c r="AH79" s="420"/>
      <c r="AO79" s="401"/>
      <c r="AP79" s="413">
        <v>300</v>
      </c>
      <c r="AQ79" s="413">
        <v>2.76</v>
      </c>
      <c r="AR79" s="403"/>
    </row>
    <row r="80" spans="1:44" ht="15" customHeight="1">
      <c r="A80" s="696"/>
      <c r="B80" s="698"/>
      <c r="C80" s="568"/>
      <c r="D80" s="567"/>
      <c r="E80" s="372"/>
      <c r="F80" s="189" t="str">
        <f t="shared" si="22"/>
        <v/>
      </c>
      <c r="G80" s="384"/>
      <c r="H80" s="190" t="str">
        <f>IF(AND(E80="",G80=""),"",SUM(F80:G85))</f>
        <v/>
      </c>
      <c r="I80" s="191"/>
      <c r="J80" s="222"/>
      <c r="K80" s="222"/>
      <c r="L80" s="197" t="str">
        <f>IF(J80="Duplex",VLOOKUP(M80,'Características dos Cabos MX CH'!$C$12:$I$14,7),(IF(J80="Triplex",VLOOKUP(M80,'Características dos Cabos MX CH'!$C$15:$J$20,8),(IF(J80="Quadruplex",VLOOKUP(M80,'Características dos Cabos MX CH'!$C$21:$K$27,9),(IF(J80="13",VLOOKUP(M80,'Características dos Cabos MX CH'!$C$15:$L$20,10),"")))))))</f>
        <v/>
      </c>
      <c r="M80" s="350" t="str">
        <f t="shared" si="5"/>
        <v/>
      </c>
      <c r="N80" s="377"/>
      <c r="O80" s="192" t="str">
        <f t="shared" si="17"/>
        <v/>
      </c>
      <c r="P80" s="192" t="str">
        <f>IF(O80="","",SUM($O$76:O80)+$Z$76)</f>
        <v/>
      </c>
      <c r="Q80" s="192" t="str">
        <f t="shared" si="6"/>
        <v/>
      </c>
      <c r="R80" s="193" t="str">
        <f>IF(J80="Duplex",VLOOKUP(M80,'Características dos Cabos MX CH'!$C$12:$I$14,5),(IF(J80="Triplex",VLOOKUP(M80,'Características dos Cabos MX CH'!$C$15:$J$20,5),(IF(J80="Quadruplex",VLOOKUP(M80,'Características dos Cabos MX CH'!$C$21:$K$27,5),(IF(J80="13",VLOOKUP(M80,'Características dos Cabos MX CH'!$C$15:$L$20,5),"")))))))</f>
        <v/>
      </c>
      <c r="S80" s="193" t="str">
        <f>IF(J80="Duplex",VLOOKUP(M80,'Características dos Cabos MX CH'!$C$12:$I$14,6),(IF(J80="Triplex",VLOOKUP(M80,'Características dos Cabos MX CH'!$C$15:$J$20,6),(IF(J80="Quadruplex",VLOOKUP(M80,'Características dos Cabos MX CH'!$C$21:$K$27,6),(IF(J80="13",VLOOKUP(M80,'Características dos Cabos MX CH'!$C$15:$L$20,6),"")))))))</f>
        <v/>
      </c>
      <c r="T80" s="194" t="str">
        <f t="shared" si="13"/>
        <v/>
      </c>
      <c r="U80" s="447" t="str">
        <f>IF(J80="Duplex",VLOOKUP(M80,'Características dos Cabos MX CH'!$C$12:$I$14,2),(IF(J80="Triplex",VLOOKUP(M80,'Características dos Cabos MX CH'!$C$15:$J$20,2),(IF(J80="Quadruplex",VLOOKUP(M80,'Características dos Cabos MX CH'!$C$21:$K$27,2),(IF(J80="13",VLOOKUP(M80,'Características dos Cabos MX CH'!$C$15:$L$20,2),"")))))))</f>
        <v/>
      </c>
      <c r="V80" s="193" t="str">
        <f>IF(J80="Duplex",VLOOKUP(M80,'Características dos Cabos MX CH'!$C$12:$I$14,3),(IF(J80="Triplex",VLOOKUP(M80,'Características dos Cabos MX CH'!$C$15:$J$20,3),(IF(J80="Quadruplex",VLOOKUP(M80,'Características dos Cabos MX CH'!$C$21:$K$27,3),(IF(J80="13",VLOOKUP(M80,'Características dos Cabos MX CH'!$C$15:$L$20,3),"")))))))</f>
        <v/>
      </c>
      <c r="W80" s="195" t="str">
        <f t="shared" si="18"/>
        <v/>
      </c>
      <c r="X80" s="195" t="str">
        <f t="shared" si="19"/>
        <v/>
      </c>
      <c r="Y80" s="196" t="str">
        <f t="shared" si="20"/>
        <v/>
      </c>
      <c r="AA80" s="396">
        <f t="shared" si="21"/>
        <v>0</v>
      </c>
      <c r="AB80" s="396">
        <f t="shared" si="4"/>
        <v>0</v>
      </c>
      <c r="AC80" s="395"/>
      <c r="AE80" s="357" t="str">
        <f t="shared" si="11"/>
        <v/>
      </c>
      <c r="AF80" s="426">
        <f t="shared" si="15"/>
        <v>0</v>
      </c>
      <c r="AG80" s="420"/>
      <c r="AH80" s="420"/>
      <c r="AO80" s="401"/>
      <c r="AP80" s="413">
        <v>310</v>
      </c>
      <c r="AQ80" s="413">
        <v>2.81</v>
      </c>
      <c r="AR80" s="403"/>
    </row>
    <row r="81" spans="1:44" ht="15" customHeight="1">
      <c r="A81" s="696"/>
      <c r="B81" s="698"/>
      <c r="C81" s="568"/>
      <c r="D81" s="567"/>
      <c r="E81" s="372"/>
      <c r="F81" s="189" t="str">
        <f t="shared" si="22"/>
        <v/>
      </c>
      <c r="G81" s="384"/>
      <c r="H81" s="190" t="str">
        <f>IF(AND(E81="",G81=""),"",SUM(F81:G85))</f>
        <v/>
      </c>
      <c r="I81" s="191"/>
      <c r="J81" s="222"/>
      <c r="K81" s="222"/>
      <c r="L81" s="197" t="str">
        <f>IF(J81="Duplex",VLOOKUP(M81,'Características dos Cabos MX CH'!$C$12:$I$14,7),(IF(J81="Triplex",VLOOKUP(M81,'Características dos Cabos MX CH'!$C$15:$J$20,8),(IF(J81="Quadruplex",VLOOKUP(M81,'Características dos Cabos MX CH'!$C$21:$K$27,9),(IF(J81="13",VLOOKUP(M81,'Características dos Cabos MX CH'!$C$15:$L$20,10),"")))))))</f>
        <v/>
      </c>
      <c r="M81" s="350" t="str">
        <f t="shared" si="5"/>
        <v/>
      </c>
      <c r="N81" s="377"/>
      <c r="O81" s="192" t="str">
        <f t="shared" si="17"/>
        <v/>
      </c>
      <c r="P81" s="192" t="str">
        <f>IF(O81="","",SUM($O$76:O81)+$Z$76)</f>
        <v/>
      </c>
      <c r="Q81" s="192" t="str">
        <f t="shared" si="6"/>
        <v/>
      </c>
      <c r="R81" s="193" t="str">
        <f>IF(J81="Duplex",VLOOKUP(M81,'Características dos Cabos MX CH'!$C$12:$I$14,5),(IF(J81="Triplex",VLOOKUP(M81,'Características dos Cabos MX CH'!$C$15:$J$20,5),(IF(J81="Quadruplex",VLOOKUP(M81,'Características dos Cabos MX CH'!$C$21:$K$27,5),(IF(J81="13",VLOOKUP(M81,'Características dos Cabos MX CH'!$C$15:$L$20,5),"")))))))</f>
        <v/>
      </c>
      <c r="S81" s="193" t="str">
        <f>IF(J81="Duplex",VLOOKUP(M81,'Características dos Cabos MX CH'!$C$12:$I$14,6),(IF(J81="Triplex",VLOOKUP(M81,'Características dos Cabos MX CH'!$C$15:$J$20,6),(IF(J81="Quadruplex",VLOOKUP(M81,'Características dos Cabos MX CH'!$C$21:$K$27,6),(IF(J81="13",VLOOKUP(M81,'Características dos Cabos MX CH'!$C$15:$L$20,6),"")))))))</f>
        <v/>
      </c>
      <c r="T81" s="194" t="str">
        <f t="shared" si="13"/>
        <v/>
      </c>
      <c r="U81" s="447" t="str">
        <f>IF(J81="Duplex",VLOOKUP(M81,'Características dos Cabos MX CH'!$C$12:$I$14,2),(IF(J81="Triplex",VLOOKUP(M81,'Características dos Cabos MX CH'!$C$15:$J$20,2),(IF(J81="Quadruplex",VLOOKUP(M81,'Características dos Cabos MX CH'!$C$21:$K$27,2),(IF(J81="13",VLOOKUP(M81,'Características dos Cabos MX CH'!$C$15:$L$20,2),"")))))))</f>
        <v/>
      </c>
      <c r="V81" s="193" t="str">
        <f>IF(J81="Duplex",VLOOKUP(M81,'Características dos Cabos MX CH'!$C$12:$I$14,3),(IF(J81="Triplex",VLOOKUP(M81,'Características dos Cabos MX CH'!$C$15:$J$20,3),(IF(J81="Quadruplex",VLOOKUP(M81,'Características dos Cabos MX CH'!$C$21:$K$27,3),(IF(J81="13",VLOOKUP(M81,'Características dos Cabos MX CH'!$C$15:$L$20,3),"")))))))</f>
        <v/>
      </c>
      <c r="W81" s="195" t="str">
        <f t="shared" si="18"/>
        <v/>
      </c>
      <c r="X81" s="195" t="str">
        <f t="shared" si="19"/>
        <v/>
      </c>
      <c r="Y81" s="196" t="str">
        <f t="shared" si="20"/>
        <v/>
      </c>
      <c r="AA81" s="396">
        <f t="shared" si="21"/>
        <v>0</v>
      </c>
      <c r="AB81" s="396">
        <f t="shared" si="4"/>
        <v>0</v>
      </c>
      <c r="AC81" s="395"/>
      <c r="AE81" s="357" t="str">
        <f t="shared" si="11"/>
        <v/>
      </c>
      <c r="AF81" s="426">
        <f t="shared" si="15"/>
        <v>0</v>
      </c>
      <c r="AG81" s="420"/>
      <c r="AH81" s="420"/>
      <c r="AO81" s="401"/>
      <c r="AP81" s="413">
        <v>320</v>
      </c>
      <c r="AQ81" s="413">
        <v>2.86</v>
      </c>
      <c r="AR81" s="403"/>
    </row>
    <row r="82" spans="1:44" ht="15" customHeight="1">
      <c r="A82" s="696"/>
      <c r="B82" s="698"/>
      <c r="C82" s="568"/>
      <c r="D82" s="567"/>
      <c r="E82" s="372"/>
      <c r="F82" s="189" t="str">
        <f t="shared" si="22"/>
        <v/>
      </c>
      <c r="G82" s="384"/>
      <c r="H82" s="190" t="str">
        <f>IF(AND(E82="",G82=""),"",SUM(F82:G85))</f>
        <v/>
      </c>
      <c r="I82" s="191"/>
      <c r="J82" s="222"/>
      <c r="K82" s="222"/>
      <c r="L82" s="197" t="str">
        <f>IF(J82="Duplex",VLOOKUP(M82,'Características dos Cabos MX CH'!$C$12:$I$14,7),(IF(J82="Triplex",VLOOKUP(M82,'Características dos Cabos MX CH'!$C$15:$J$20,8),(IF(J82="Quadruplex",VLOOKUP(M82,'Características dos Cabos MX CH'!$C$21:$K$27,9),(IF(J82="13",VLOOKUP(M82,'Características dos Cabos MX CH'!$C$15:$L$20,10),"")))))))</f>
        <v/>
      </c>
      <c r="M82" s="350" t="str">
        <f t="shared" si="5"/>
        <v/>
      </c>
      <c r="N82" s="377"/>
      <c r="O82" s="192" t="str">
        <f t="shared" si="17"/>
        <v/>
      </c>
      <c r="P82" s="192" t="str">
        <f>IF(O82="","",SUM($O$76:O82)+$Z$76)</f>
        <v/>
      </c>
      <c r="Q82" s="192" t="str">
        <f t="shared" si="6"/>
        <v/>
      </c>
      <c r="R82" s="193" t="str">
        <f>IF(J82="Duplex",VLOOKUP(M82,'Características dos Cabos MX CH'!$C$12:$I$14,5),(IF(J82="Triplex",VLOOKUP(M82,'Características dos Cabos MX CH'!$C$15:$J$20,5),(IF(J82="Quadruplex",VLOOKUP(M82,'Características dos Cabos MX CH'!$C$21:$K$27,5),(IF(J82="13",VLOOKUP(M82,'Características dos Cabos MX CH'!$C$15:$L$20,5),"")))))))</f>
        <v/>
      </c>
      <c r="S82" s="193" t="str">
        <f>IF(J82="Duplex",VLOOKUP(M82,'Características dos Cabos MX CH'!$C$12:$I$14,6),(IF(J82="Triplex",VLOOKUP(M82,'Características dos Cabos MX CH'!$C$15:$J$20,6),(IF(J82="Quadruplex",VLOOKUP(M82,'Características dos Cabos MX CH'!$C$21:$K$27,6),(IF(J82="13",VLOOKUP(M82,'Características dos Cabos MX CH'!$C$15:$L$20,6),"")))))))</f>
        <v/>
      </c>
      <c r="T82" s="194" t="str">
        <f t="shared" si="13"/>
        <v/>
      </c>
      <c r="U82" s="447" t="str">
        <f>IF(J82="Duplex",VLOOKUP(M82,'Características dos Cabos MX CH'!$C$12:$I$14,2),(IF(J82="Triplex",VLOOKUP(M82,'Características dos Cabos MX CH'!$C$15:$J$20,2),(IF(J82="Quadruplex",VLOOKUP(M82,'Características dos Cabos MX CH'!$C$21:$K$27,2),(IF(J82="13",VLOOKUP(M82,'Características dos Cabos MX CH'!$C$15:$L$20,2),"")))))))</f>
        <v/>
      </c>
      <c r="V82" s="193" t="str">
        <f>IF(J82="Duplex",VLOOKUP(M82,'Características dos Cabos MX CH'!$C$12:$I$14,3),(IF(J82="Triplex",VLOOKUP(M82,'Características dos Cabos MX CH'!$C$15:$J$20,3),(IF(J82="Quadruplex",VLOOKUP(M82,'Características dos Cabos MX CH'!$C$21:$K$27,3),(IF(J82="13",VLOOKUP(M82,'Características dos Cabos MX CH'!$C$15:$L$20,3),"")))))))</f>
        <v/>
      </c>
      <c r="W82" s="195" t="str">
        <f t="shared" si="18"/>
        <v/>
      </c>
      <c r="X82" s="195" t="str">
        <f t="shared" si="19"/>
        <v/>
      </c>
      <c r="Y82" s="196" t="str">
        <f t="shared" si="20"/>
        <v/>
      </c>
      <c r="AA82" s="396">
        <f t="shared" si="21"/>
        <v>0</v>
      </c>
      <c r="AB82" s="396">
        <f t="shared" si="4"/>
        <v>0</v>
      </c>
      <c r="AC82" s="395"/>
      <c r="AE82" s="357" t="str">
        <f t="shared" si="11"/>
        <v/>
      </c>
      <c r="AF82" s="426">
        <f t="shared" si="15"/>
        <v>0</v>
      </c>
      <c r="AG82" s="420"/>
      <c r="AH82" s="420"/>
      <c r="AO82" s="401"/>
      <c r="AP82" s="413">
        <v>330</v>
      </c>
      <c r="AQ82" s="413">
        <v>2.91</v>
      </c>
      <c r="AR82" s="403"/>
    </row>
    <row r="83" spans="1:44" ht="15" customHeight="1">
      <c r="A83" s="696"/>
      <c r="B83" s="698"/>
      <c r="C83" s="568"/>
      <c r="D83" s="368"/>
      <c r="E83" s="372"/>
      <c r="F83" s="189" t="str">
        <f t="shared" si="22"/>
        <v/>
      </c>
      <c r="G83" s="384"/>
      <c r="H83" s="190" t="str">
        <f>IF(AND(E83="",G83=""),"",SUM(F83:G85))</f>
        <v/>
      </c>
      <c r="I83" s="191"/>
      <c r="J83" s="222"/>
      <c r="K83" s="222"/>
      <c r="L83" s="197" t="str">
        <f>IF(J83="Duplex",VLOOKUP(M83,'Características dos Cabos MX CH'!$C$12:$I$14,7),(IF(J83="Triplex",VLOOKUP(M83,'Características dos Cabos MX CH'!$C$15:$J$20,8),(IF(J83="Quadruplex",VLOOKUP(M83,'Características dos Cabos MX CH'!$C$21:$K$27,9),(IF(J83="13",VLOOKUP(M83,'Características dos Cabos MX CH'!$C$15:$L$20,10),"")))))))</f>
        <v/>
      </c>
      <c r="M83" s="350" t="str">
        <f t="shared" si="5"/>
        <v/>
      </c>
      <c r="N83" s="377"/>
      <c r="O83" s="192" t="str">
        <f t="shared" si="17"/>
        <v/>
      </c>
      <c r="P83" s="192" t="str">
        <f>IF(O83="","",SUM($O$76:O83)+$Z$76)</f>
        <v/>
      </c>
      <c r="Q83" s="192" t="str">
        <f t="shared" si="6"/>
        <v/>
      </c>
      <c r="R83" s="193" t="str">
        <f>IF(J83="Duplex",VLOOKUP(M83,'Características dos Cabos MX CH'!$C$12:$I$14,5),(IF(J83="Triplex",VLOOKUP(M83,'Características dos Cabos MX CH'!$C$15:$J$20,5),(IF(J83="Quadruplex",VLOOKUP(M83,'Características dos Cabos MX CH'!$C$21:$K$27,5),(IF(J83="13",VLOOKUP(M83,'Características dos Cabos MX CH'!$C$15:$L$20,5),"")))))))</f>
        <v/>
      </c>
      <c r="S83" s="193" t="str">
        <f>IF(J83="Duplex",VLOOKUP(M83,'Características dos Cabos MX CH'!$C$12:$I$14,6),(IF(J83="Triplex",VLOOKUP(M83,'Características dos Cabos MX CH'!$C$15:$J$20,6),(IF(J83="Quadruplex",VLOOKUP(M83,'Características dos Cabos MX CH'!$C$21:$K$27,6),(IF(J83="13",VLOOKUP(M83,'Características dos Cabos MX CH'!$C$15:$L$20,6),"")))))))</f>
        <v/>
      </c>
      <c r="T83" s="194" t="str">
        <f t="shared" si="13"/>
        <v/>
      </c>
      <c r="U83" s="447" t="str">
        <f>IF(J83="Duplex",VLOOKUP(M83,'Características dos Cabos MX CH'!$C$12:$I$14,2),(IF(J83="Triplex",VLOOKUP(M83,'Características dos Cabos MX CH'!$C$15:$J$20,2),(IF(J83="Quadruplex",VLOOKUP(M83,'Características dos Cabos MX CH'!$C$21:$K$27,2),(IF(J83="13",VLOOKUP(M83,'Características dos Cabos MX CH'!$C$15:$L$20,2),"")))))))</f>
        <v/>
      </c>
      <c r="V83" s="193" t="str">
        <f>IF(J83="Duplex",VLOOKUP(M83,'Características dos Cabos MX CH'!$C$12:$I$14,3),(IF(J83="Triplex",VLOOKUP(M83,'Características dos Cabos MX CH'!$C$15:$J$20,3),(IF(J83="Quadruplex",VLOOKUP(M83,'Características dos Cabos MX CH'!$C$21:$K$27,3),(IF(J83="13",VLOOKUP(M83,'Características dos Cabos MX CH'!$C$15:$L$20,3),"")))))))</f>
        <v/>
      </c>
      <c r="W83" s="195" t="str">
        <f t="shared" si="18"/>
        <v/>
      </c>
      <c r="X83" s="195" t="str">
        <f t="shared" si="19"/>
        <v/>
      </c>
      <c r="Y83" s="196" t="str">
        <f t="shared" si="20"/>
        <v/>
      </c>
      <c r="AA83" s="396">
        <f t="shared" si="21"/>
        <v>0</v>
      </c>
      <c r="AB83" s="396">
        <f t="shared" si="4"/>
        <v>0</v>
      </c>
      <c r="AC83" s="395"/>
      <c r="AE83" s="357" t="str">
        <f t="shared" si="11"/>
        <v/>
      </c>
      <c r="AF83" s="426">
        <f t="shared" si="15"/>
        <v>0</v>
      </c>
      <c r="AG83" s="420"/>
      <c r="AH83" s="420"/>
      <c r="AO83" s="401"/>
      <c r="AP83" s="413">
        <v>340</v>
      </c>
      <c r="AQ83" s="413">
        <v>2.97</v>
      </c>
      <c r="AR83" s="403"/>
    </row>
    <row r="84" spans="1:44" ht="15" customHeight="1">
      <c r="A84" s="696"/>
      <c r="B84" s="698"/>
      <c r="C84" s="568"/>
      <c r="D84" s="368"/>
      <c r="E84" s="372"/>
      <c r="F84" s="189" t="str">
        <f t="shared" si="22"/>
        <v/>
      </c>
      <c r="G84" s="384"/>
      <c r="H84" s="190" t="str">
        <f>IF(AND(E84="",G84=""),"",SUM(F84:G85))</f>
        <v/>
      </c>
      <c r="I84" s="191"/>
      <c r="J84" s="222"/>
      <c r="K84" s="222"/>
      <c r="L84" s="197" t="str">
        <f>IF(J84="Duplex",VLOOKUP(M84,'Características dos Cabos MX CH'!$C$12:$I$14,7),(IF(J84="Triplex",VLOOKUP(M84,'Características dos Cabos MX CH'!$C$15:$J$20,8),(IF(J84="Quadruplex",VLOOKUP(M84,'Características dos Cabos MX CH'!$C$21:$K$27,9),(IF(J84="13",VLOOKUP(M84,'Características dos Cabos MX CH'!$C$15:$L$20,10),"")))))))</f>
        <v/>
      </c>
      <c r="M84" s="350" t="str">
        <f t="shared" si="5"/>
        <v/>
      </c>
      <c r="N84" s="377"/>
      <c r="O84" s="192" t="str">
        <f t="shared" si="17"/>
        <v/>
      </c>
      <c r="P84" s="192" t="str">
        <f>IF(O84="","",SUM($O$76:O84)+$Z$76)</f>
        <v/>
      </c>
      <c r="Q84" s="192" t="str">
        <f t="shared" si="6"/>
        <v/>
      </c>
      <c r="R84" s="193" t="str">
        <f>IF(J84="Duplex",VLOOKUP(M84,'Características dos Cabos MX CH'!$C$12:$I$14,5),(IF(J84="Triplex",VLOOKUP(M84,'Características dos Cabos MX CH'!$C$15:$J$20,5),(IF(J84="Quadruplex",VLOOKUP(M84,'Características dos Cabos MX CH'!$C$21:$K$27,5),(IF(J84="13",VLOOKUP(M84,'Características dos Cabos MX CH'!$C$15:$L$20,5),"")))))))</f>
        <v/>
      </c>
      <c r="S84" s="193" t="str">
        <f>IF(J84="Duplex",VLOOKUP(M84,'Características dos Cabos MX CH'!$C$12:$I$14,6),(IF(J84="Triplex",VLOOKUP(M84,'Características dos Cabos MX CH'!$C$15:$J$20,6),(IF(J84="Quadruplex",VLOOKUP(M84,'Características dos Cabos MX CH'!$C$21:$K$27,6),(IF(J84="13",VLOOKUP(M84,'Características dos Cabos MX CH'!$C$15:$L$20,6),"")))))))</f>
        <v/>
      </c>
      <c r="T84" s="194" t="str">
        <f t="shared" si="13"/>
        <v/>
      </c>
      <c r="U84" s="447" t="str">
        <f>IF(J84="Duplex",VLOOKUP(M84,'Características dos Cabos MX CH'!$C$12:$I$14,2),(IF(J84="Triplex",VLOOKUP(M84,'Características dos Cabos MX CH'!$C$15:$J$20,2),(IF(J84="Quadruplex",VLOOKUP(M84,'Características dos Cabos MX CH'!$C$21:$K$27,2),(IF(J84="13",VLOOKUP(M84,'Características dos Cabos MX CH'!$C$15:$L$20,2),"")))))))</f>
        <v/>
      </c>
      <c r="V84" s="193" t="str">
        <f>IF(J84="Duplex",VLOOKUP(M84,'Características dos Cabos MX CH'!$C$12:$I$14,3),(IF(J84="Triplex",VLOOKUP(M84,'Características dos Cabos MX CH'!$C$15:$J$20,3),(IF(J84="Quadruplex",VLOOKUP(M84,'Características dos Cabos MX CH'!$C$21:$K$27,3),(IF(J84="13",VLOOKUP(M84,'Características dos Cabos MX CH'!$C$15:$L$20,3),"")))))))</f>
        <v/>
      </c>
      <c r="W84" s="195" t="str">
        <f t="shared" si="18"/>
        <v/>
      </c>
      <c r="X84" s="195" t="str">
        <f t="shared" si="19"/>
        <v/>
      </c>
      <c r="Y84" s="196" t="str">
        <f t="shared" si="20"/>
        <v/>
      </c>
      <c r="AA84" s="396">
        <f t="shared" si="21"/>
        <v>0</v>
      </c>
      <c r="AB84" s="396">
        <f t="shared" si="4"/>
        <v>0</v>
      </c>
      <c r="AC84" s="395"/>
      <c r="AE84" s="357" t="str">
        <f t="shared" si="11"/>
        <v/>
      </c>
      <c r="AF84" s="426">
        <f t="shared" si="15"/>
        <v>0</v>
      </c>
      <c r="AG84" s="420"/>
      <c r="AH84" s="420"/>
      <c r="AO84" s="401"/>
      <c r="AP84" s="413">
        <v>350</v>
      </c>
      <c r="AQ84" s="413">
        <v>3.02</v>
      </c>
      <c r="AR84" s="403"/>
    </row>
    <row r="85" spans="1:44" ht="15" customHeight="1" thickBot="1">
      <c r="A85" s="696"/>
      <c r="B85" s="699"/>
      <c r="C85" s="568"/>
      <c r="D85" s="370"/>
      <c r="E85" s="369"/>
      <c r="F85" s="199" t="str">
        <f t="shared" si="22"/>
        <v/>
      </c>
      <c r="G85" s="385"/>
      <c r="H85" s="200" t="str">
        <f>IF(AND(E85="",G85=""),"",SUM(F85:G85))</f>
        <v/>
      </c>
      <c r="I85" s="201"/>
      <c r="J85" s="223"/>
      <c r="K85" s="223"/>
      <c r="L85" s="202" t="str">
        <f>IF(J85="Duplex",VLOOKUP(M85,'Características dos Cabos MX CH'!$C$12:$I$14,7),(IF(J85="Triplex",VLOOKUP(M85,'Características dos Cabos MX CH'!$C$15:$J$20,8),(IF(J85="Quadruplex",VLOOKUP(M85,'Características dos Cabos MX CH'!$C$21:$K$27,9),(IF(J85="13",VLOOKUP(M85,'Características dos Cabos MX CH'!$C$15:$L$20,10),"")))))))</f>
        <v/>
      </c>
      <c r="M85" s="353" t="str">
        <f t="shared" si="5"/>
        <v/>
      </c>
      <c r="N85" s="378"/>
      <c r="O85" s="203" t="str">
        <f t="shared" si="17"/>
        <v/>
      </c>
      <c r="P85" s="192" t="str">
        <f>IF(O85="","",SUM($O$76:O85)+$Z$76)</f>
        <v/>
      </c>
      <c r="Q85" s="203" t="str">
        <f t="shared" si="6"/>
        <v/>
      </c>
      <c r="R85" s="204" t="str">
        <f>IF(J85="Duplex",VLOOKUP(M85,'Características dos Cabos MX CH'!$C$12:$I$14,5),(IF(J85="Triplex",VLOOKUP(M85,'Características dos Cabos MX CH'!$C$15:$J$20,5),(IF(J85="Quadruplex",VLOOKUP(M85,'Características dos Cabos MX CH'!$C$21:$K$27,5),(IF(J85="13",VLOOKUP(M85,'Características dos Cabos MX CH'!$C$15:$L$20,5),"")))))))</f>
        <v/>
      </c>
      <c r="S85" s="204" t="str">
        <f>IF(J85="Duplex",VLOOKUP(M85,'Características dos Cabos MX CH'!$C$12:$I$14,6),(IF(J85="Triplex",VLOOKUP(M85,'Características dos Cabos MX CH'!$C$15:$J$20,6),(IF(J85="Quadruplex",VLOOKUP(M85,'Características dos Cabos MX CH'!$C$21:$K$27,6),(IF(J85="13",VLOOKUP(M85,'Características dos Cabos MX CH'!$C$15:$L$20,6),"")))))))</f>
        <v/>
      </c>
      <c r="T85" s="205" t="str">
        <f t="shared" si="13"/>
        <v/>
      </c>
      <c r="U85" s="448" t="str">
        <f>IF(J85="Duplex",VLOOKUP(M85,'Características dos Cabos MX CH'!$C$12:$I$14,2),(IF(J85="Triplex",VLOOKUP(M85,'Características dos Cabos MX CH'!$C$15:$J$20,2),(IF(J85="Quadruplex",VLOOKUP(M85,'Características dos Cabos MX CH'!$C$21:$K$27,2),(IF(J85="13",VLOOKUP(M85,'Características dos Cabos MX CH'!$C$15:$L$20,2),"")))))))</f>
        <v/>
      </c>
      <c r="V85" s="204" t="str">
        <f>IF(J85="Duplex",VLOOKUP(M85,'Características dos Cabos MX CH'!$C$12:$I$14,3),(IF(J85="Triplex",VLOOKUP(M85,'Características dos Cabos MX CH'!$C$15:$J$20,3),(IF(J85="Quadruplex",VLOOKUP(M85,'Características dos Cabos MX CH'!$C$21:$K$27,3),(IF(J85="13",VLOOKUP(M85,'Características dos Cabos MX CH'!$C$15:$L$20,3),"")))))))</f>
        <v/>
      </c>
      <c r="W85" s="206" t="str">
        <f t="shared" si="18"/>
        <v/>
      </c>
      <c r="X85" s="206" t="str">
        <f t="shared" si="19"/>
        <v/>
      </c>
      <c r="Y85" s="207" t="str">
        <f t="shared" si="20"/>
        <v/>
      </c>
      <c r="AA85" s="396">
        <f t="shared" si="21"/>
        <v>0</v>
      </c>
      <c r="AB85" s="396">
        <f t="shared" si="4"/>
        <v>0</v>
      </c>
      <c r="AC85" s="395"/>
      <c r="AE85" s="357" t="str">
        <f t="shared" si="23" ref="AE85:AE148">IF(OR(E85="",$G$11=""),"",IF($G$11&gt;0,E85*$G$11*($J$11/100+1)^($J$15-1),E85*$E$11*($J$11/100+1)^($J$15-1)))</f>
        <v/>
      </c>
      <c r="AF85" s="426">
        <f t="shared" si="15"/>
        <v>0</v>
      </c>
      <c r="AG85" s="420"/>
      <c r="AH85" s="420"/>
      <c r="AO85" s="401"/>
      <c r="AP85" s="413">
        <v>360</v>
      </c>
      <c r="AQ85" s="413">
        <v>3.07</v>
      </c>
      <c r="AR85" s="403"/>
    </row>
    <row r="86" spans="1:44" ht="15" customHeight="1" thickTop="1">
      <c r="A86" s="696"/>
      <c r="B86" s="700" t="str">
        <f>CONCATENATE("Ramal 5 - Derivando no ponto ",C86)</f>
        <v xml:space="preserve">Ramal 5 - Derivando no ponto </v>
      </c>
      <c r="C86" s="572"/>
      <c r="D86" s="573"/>
      <c r="E86" s="374"/>
      <c r="F86" s="208" t="str">
        <f t="shared" si="22"/>
        <v/>
      </c>
      <c r="G86" s="386"/>
      <c r="H86" s="209" t="str">
        <f>IF(AND(E86="",G86=""),"",SUM(F86:G95))</f>
        <v/>
      </c>
      <c r="I86" s="210"/>
      <c r="J86" s="224"/>
      <c r="K86" s="224"/>
      <c r="L86" s="211" t="str">
        <f>IF(J86="Duplex",VLOOKUP(M86,'Características dos Cabos MX CH'!$C$12:$I$14,7),(IF(J86="Triplex",VLOOKUP(M86,'Características dos Cabos MX CH'!$C$15:$J$20,8),(IF(J86="Quadruplex",VLOOKUP(M86,'Características dos Cabos MX CH'!$C$21:$K$27,9),(IF(J86="13",VLOOKUP(M86,'Características dos Cabos MX CH'!$C$15:$L$20,10),"")))))))</f>
        <v/>
      </c>
      <c r="M86" s="354" t="str">
        <f t="shared" si="5"/>
        <v/>
      </c>
      <c r="N86" s="379"/>
      <c r="O86" s="212" t="str">
        <f t="shared" si="17"/>
        <v/>
      </c>
      <c r="P86" s="217" t="str">
        <f>IF(O86="","",O86+VLOOKUP(C86,$D$20:$Q$85,13,FALSE))</f>
        <v/>
      </c>
      <c r="Q86" s="212" t="str">
        <f t="shared" si="6"/>
        <v/>
      </c>
      <c r="R86" s="213" t="str">
        <f>IF(J86="Duplex",VLOOKUP(M86,'Características dos Cabos MX CH'!$C$12:$I$14,5),(IF(J86="Triplex",VLOOKUP(M86,'Características dos Cabos MX CH'!$C$15:$J$20,5),(IF(J86="Quadruplex",VLOOKUP(M86,'Características dos Cabos MX CH'!$C$21:$K$27,5),(IF(J86="13",VLOOKUP(M86,'Características dos Cabos MX CH'!$C$15:$L$20,5),"")))))))</f>
        <v/>
      </c>
      <c r="S86" s="213" t="str">
        <f>IF(J86="Duplex",VLOOKUP(M86,'Características dos Cabos MX CH'!$C$12:$I$14,6),(IF(J86="Triplex",VLOOKUP(M86,'Características dos Cabos MX CH'!$C$15:$J$20,6),(IF(J86="Quadruplex",VLOOKUP(M86,'Características dos Cabos MX CH'!$C$21:$K$27,6),(IF(J86="13",VLOOKUP(M86,'Características dos Cabos MX CH'!$C$15:$L$20,6),"")))))))</f>
        <v/>
      </c>
      <c r="T86" s="214" t="str">
        <f t="shared" si="13"/>
        <v/>
      </c>
      <c r="U86" s="450" t="str">
        <f>IF(J86="Duplex",VLOOKUP(M86,'Características dos Cabos MX CH'!$C$12:$I$14,2),(IF(J86="Triplex",VLOOKUP(M86,'Características dos Cabos MX CH'!$C$15:$J$20,2),(IF(J86="Quadruplex",VLOOKUP(M86,'Características dos Cabos MX CH'!$C$21:$K$27,2),(IF(J86="13",VLOOKUP(M86,'Características dos Cabos MX CH'!$C$15:$L$20,2),"")))))))</f>
        <v/>
      </c>
      <c r="V86" s="213" t="str">
        <f>IF(J86="Duplex",VLOOKUP(M86,'Características dos Cabos MX CH'!$C$12:$I$14,3),(IF(J86="Triplex",VLOOKUP(M86,'Características dos Cabos MX CH'!$C$15:$J$20,3),(IF(J86="Quadruplex",VLOOKUP(M86,'Características dos Cabos MX CH'!$C$21:$K$27,3),(IF(J86="13",VLOOKUP(M86,'Características dos Cabos MX CH'!$C$15:$L$20,3),"")))))))</f>
        <v/>
      </c>
      <c r="W86" s="215" t="str">
        <f t="shared" si="18"/>
        <v/>
      </c>
      <c r="X86" s="215" t="str">
        <f t="shared" si="19"/>
        <v/>
      </c>
      <c r="Y86" s="216" t="str">
        <f t="shared" si="20"/>
        <v/>
      </c>
      <c r="Z86" s="393" t="str">
        <f>IF(O86="","",VLOOKUP(C86,$D$20:$P$85,13,FALSE))</f>
        <v/>
      </c>
      <c r="AA86" s="396">
        <f t="shared" si="21"/>
        <v>0</v>
      </c>
      <c r="AB86" s="396">
        <f t="shared" si="4"/>
        <v>0</v>
      </c>
      <c r="AC86" s="395"/>
      <c r="AE86" s="357" t="str">
        <f t="shared" si="23"/>
        <v/>
      </c>
      <c r="AF86" s="426">
        <f t="shared" si="15"/>
        <v>0</v>
      </c>
      <c r="AG86" s="420"/>
      <c r="AH86" s="420"/>
      <c r="AO86" s="401"/>
      <c r="AP86" s="413">
        <v>370</v>
      </c>
      <c r="AQ86" s="413">
        <v>3.12</v>
      </c>
      <c r="AR86" s="403"/>
    </row>
    <row r="87" spans="1:44" ht="15" customHeight="1">
      <c r="A87" s="696"/>
      <c r="B87" s="698"/>
      <c r="C87" s="562"/>
      <c r="D87" s="567"/>
      <c r="E87" s="372"/>
      <c r="F87" s="189" t="str">
        <f t="shared" si="22"/>
        <v/>
      </c>
      <c r="G87" s="384"/>
      <c r="H87" s="190" t="str">
        <f>IF(AND(E87="",G87=""),"",SUM(F87:G95))</f>
        <v/>
      </c>
      <c r="I87" s="191"/>
      <c r="J87" s="222"/>
      <c r="K87" s="222"/>
      <c r="L87" s="197" t="str">
        <f>IF(J87="Duplex",VLOOKUP(M87,'Características dos Cabos MX CH'!$C$12:$I$14,7),(IF(J87="Triplex",VLOOKUP(M87,'Características dos Cabos MX CH'!$C$15:$J$20,8),(IF(J87="Quadruplex",VLOOKUP(M87,'Características dos Cabos MX CH'!$C$21:$K$27,9),(IF(J87="13",VLOOKUP(M87,'Características dos Cabos MX CH'!$C$15:$L$20,10),"")))))))</f>
        <v/>
      </c>
      <c r="M87" s="350" t="str">
        <f t="shared" si="24" ref="M87:M150">IF(K87=10,"a",IF(K87=16,"b",IF(K87=25,"c",IF(K87=35,"d",IF(K87=50,"e",(IF(K87=70,"f",(IF(K87=120,"g","")))))))))</f>
        <v/>
      </c>
      <c r="N87" s="377"/>
      <c r="O87" s="192" t="str">
        <f t="shared" si="17"/>
        <v/>
      </c>
      <c r="P87" s="192" t="str">
        <f>IF(O87="","",SUM($O$86:O87)+$Z$86)</f>
        <v/>
      </c>
      <c r="Q87" s="192" t="str">
        <f t="shared" si="25" ref="Q87:Q150">IF(H87="","",IF(J87="Quadruplex",H87*1000/($D$13*SQRT(3)),IF(J87="Triplex",H87*1000*SQRT(3)/($D$13*2),IF(J87="Duplex",H87*1000*SQRT(3)/$D$13,IF(J87="13",H87*1000/$D$15,IF(J87="12",H87*1000*2/$D$15,"erro"))))))</f>
        <v/>
      </c>
      <c r="R87" s="193" t="str">
        <f>IF(J87="Duplex",VLOOKUP(M87,'Características dos Cabos MX CH'!$C$12:$I$14,5),(IF(J87="Triplex",VLOOKUP(M87,'Características dos Cabos MX CH'!$C$15:$J$20,5),(IF(J87="Quadruplex",VLOOKUP(M87,'Características dos Cabos MX CH'!$C$21:$K$27,5),(IF(J87="13",VLOOKUP(M87,'Características dos Cabos MX CH'!$C$15:$L$20,5),"")))))))</f>
        <v/>
      </c>
      <c r="S87" s="193" t="str">
        <f>IF(J87="Duplex",VLOOKUP(M87,'Características dos Cabos MX CH'!$C$12:$I$14,6),(IF(J87="Triplex",VLOOKUP(M87,'Características dos Cabos MX CH'!$C$15:$J$20,6),(IF(J87="Quadruplex",VLOOKUP(M87,'Características dos Cabos MX CH'!$C$21:$K$27,6),(IF(J87="13",VLOOKUP(M87,'Características dos Cabos MX CH'!$C$15:$L$20,6),"")))))))</f>
        <v/>
      </c>
      <c r="T87" s="194" t="str">
        <f t="shared" si="13"/>
        <v/>
      </c>
      <c r="U87" s="447" t="str">
        <f>IF(J87="Duplex",VLOOKUP(M87,'Características dos Cabos MX CH'!$C$12:$I$14,2),(IF(J87="Triplex",VLOOKUP(M87,'Características dos Cabos MX CH'!$C$15:$J$20,2),(IF(J87="Quadruplex",VLOOKUP(M87,'Características dos Cabos MX CH'!$C$21:$K$27,2),(IF(J87="13",VLOOKUP(M87,'Características dos Cabos MX CH'!$C$15:$L$20,2),"")))))))</f>
        <v/>
      </c>
      <c r="V87" s="193" t="str">
        <f>IF(J87="Duplex",VLOOKUP(M87,'Características dos Cabos MX CH'!$C$12:$I$14,3),(IF(J87="Triplex",VLOOKUP(M87,'Características dos Cabos MX CH'!$C$15:$J$20,3),(IF(J87="Quadruplex",VLOOKUP(M87,'Características dos Cabos MX CH'!$C$21:$K$27,3),(IF(J87="13",VLOOKUP(M87,'Características dos Cabos MX CH'!$C$15:$L$20,3),"")))))))</f>
        <v/>
      </c>
      <c r="W87" s="195" t="str">
        <f t="shared" si="18"/>
        <v/>
      </c>
      <c r="X87" s="195" t="str">
        <f t="shared" si="19"/>
        <v/>
      </c>
      <c r="Y87" s="196" t="str">
        <f t="shared" si="20"/>
        <v/>
      </c>
      <c r="AA87" s="396">
        <f t="shared" si="21"/>
        <v>0</v>
      </c>
      <c r="AB87" s="396">
        <f t="shared" si="26" ref="AB87:AB150">K87</f>
        <v>0</v>
      </c>
      <c r="AC87" s="395"/>
      <c r="AE87" s="357" t="str">
        <f t="shared" si="23"/>
        <v/>
      </c>
      <c r="AF87" s="426">
        <f t="shared" si="15"/>
        <v>0</v>
      </c>
      <c r="AG87" s="420"/>
      <c r="AH87" s="420"/>
      <c r="AO87" s="401"/>
      <c r="AP87" s="413">
        <v>380</v>
      </c>
      <c r="AQ87" s="413">
        <v>3.17</v>
      </c>
      <c r="AR87" s="403"/>
    </row>
    <row r="88" spans="1:44" ht="15" customHeight="1">
      <c r="A88" s="696"/>
      <c r="B88" s="698"/>
      <c r="C88" s="568"/>
      <c r="D88" s="567"/>
      <c r="E88" s="372"/>
      <c r="F88" s="189" t="str">
        <f t="shared" si="22"/>
        <v/>
      </c>
      <c r="G88" s="384"/>
      <c r="H88" s="190" t="str">
        <f>IF(AND(E88="",G88=""),"",SUM(F88:G95))</f>
        <v/>
      </c>
      <c r="I88" s="191"/>
      <c r="J88" s="222"/>
      <c r="K88" s="222"/>
      <c r="L88" s="197" t="str">
        <f>IF(J88="Duplex",VLOOKUP(M88,'Características dos Cabos MX CH'!$C$12:$I$14,7),(IF(J88="Triplex",VLOOKUP(M88,'Características dos Cabos MX CH'!$C$15:$J$20,8),(IF(J88="Quadruplex",VLOOKUP(M88,'Características dos Cabos MX CH'!$C$21:$K$27,9),(IF(J88="13",VLOOKUP(M88,'Características dos Cabos MX CH'!$C$15:$L$20,10),"")))))))</f>
        <v/>
      </c>
      <c r="M88" s="350" t="str">
        <f t="shared" si="24"/>
        <v/>
      </c>
      <c r="N88" s="377"/>
      <c r="O88" s="192" t="str">
        <f t="shared" si="17"/>
        <v/>
      </c>
      <c r="P88" s="192" t="str">
        <f>IF(O88="","",SUM($O$86:O88)+$Z$86)</f>
        <v/>
      </c>
      <c r="Q88" s="192" t="str">
        <f t="shared" si="25"/>
        <v/>
      </c>
      <c r="R88" s="193" t="str">
        <f>IF(J88="Duplex",VLOOKUP(M88,'Características dos Cabos MX CH'!$C$12:$I$14,5),(IF(J88="Triplex",VLOOKUP(M88,'Características dos Cabos MX CH'!$C$15:$J$20,5),(IF(J88="Quadruplex",VLOOKUP(M88,'Características dos Cabos MX CH'!$C$21:$K$27,5),(IF(J88="13",VLOOKUP(M88,'Características dos Cabos MX CH'!$C$15:$L$20,5),"")))))))</f>
        <v/>
      </c>
      <c r="S88" s="193" t="str">
        <f>IF(J88="Duplex",VLOOKUP(M88,'Características dos Cabos MX CH'!$C$12:$I$14,6),(IF(J88="Triplex",VLOOKUP(M88,'Características dos Cabos MX CH'!$C$15:$J$20,6),(IF(J88="Quadruplex",VLOOKUP(M88,'Características dos Cabos MX CH'!$C$21:$K$27,6),(IF(J88="13",VLOOKUP(M88,'Características dos Cabos MX CH'!$C$15:$L$20,6),"")))))))</f>
        <v/>
      </c>
      <c r="T88" s="194" t="str">
        <f t="shared" si="13"/>
        <v/>
      </c>
      <c r="U88" s="447" t="str">
        <f>IF(J88="Duplex",VLOOKUP(M88,'Características dos Cabos MX CH'!$C$12:$I$14,2),(IF(J88="Triplex",VLOOKUP(M88,'Características dos Cabos MX CH'!$C$15:$J$20,2),(IF(J88="Quadruplex",VLOOKUP(M88,'Características dos Cabos MX CH'!$C$21:$K$27,2),(IF(J88="13",VLOOKUP(M88,'Características dos Cabos MX CH'!$C$15:$L$20,2),"")))))))</f>
        <v/>
      </c>
      <c r="V88" s="193" t="str">
        <f>IF(J88="Duplex",VLOOKUP(M88,'Características dos Cabos MX CH'!$C$12:$I$14,3),(IF(J88="Triplex",VLOOKUP(M88,'Características dos Cabos MX CH'!$C$15:$J$20,3),(IF(J88="Quadruplex",VLOOKUP(M88,'Características dos Cabos MX CH'!$C$21:$K$27,3),(IF(J88="13",VLOOKUP(M88,'Características dos Cabos MX CH'!$C$15:$L$20,3),"")))))))</f>
        <v/>
      </c>
      <c r="W88" s="195" t="str">
        <f t="shared" si="18"/>
        <v/>
      </c>
      <c r="X88" s="195" t="str">
        <f t="shared" si="19"/>
        <v/>
      </c>
      <c r="Y88" s="196" t="str">
        <f t="shared" si="20"/>
        <v/>
      </c>
      <c r="AA88" s="396">
        <f t="shared" si="21"/>
        <v>0</v>
      </c>
      <c r="AB88" s="396">
        <f t="shared" si="26"/>
        <v>0</v>
      </c>
      <c r="AC88" s="395"/>
      <c r="AE88" s="357" t="str">
        <f t="shared" si="23"/>
        <v/>
      </c>
      <c r="AF88" s="426">
        <f t="shared" si="15"/>
        <v>0</v>
      </c>
      <c r="AG88" s="420"/>
      <c r="AH88" s="420"/>
      <c r="AO88" s="401"/>
      <c r="AP88" s="413">
        <v>390</v>
      </c>
      <c r="AQ88" s="413">
        <v>3.22</v>
      </c>
      <c r="AR88" s="403"/>
    </row>
    <row r="89" spans="1:44" ht="15" customHeight="1">
      <c r="A89" s="696"/>
      <c r="B89" s="698"/>
      <c r="C89" s="568"/>
      <c r="D89" s="567"/>
      <c r="E89" s="372"/>
      <c r="F89" s="189" t="str">
        <f t="shared" si="22"/>
        <v/>
      </c>
      <c r="G89" s="384"/>
      <c r="H89" s="190" t="str">
        <f>IF(AND(E89="",G89=""),"",SUM(F89:G95))</f>
        <v/>
      </c>
      <c r="I89" s="191"/>
      <c r="J89" s="222"/>
      <c r="K89" s="222"/>
      <c r="L89" s="197" t="str">
        <f>IF(J89="Duplex",VLOOKUP(M89,'Características dos Cabos MX CH'!$C$12:$I$14,7),(IF(J89="Triplex",VLOOKUP(M89,'Características dos Cabos MX CH'!$C$15:$J$20,8),(IF(J89="Quadruplex",VLOOKUP(M89,'Características dos Cabos MX CH'!$C$21:$K$27,9),(IF(J89="13",VLOOKUP(M89,'Características dos Cabos MX CH'!$C$15:$L$20,10),"")))))))</f>
        <v/>
      </c>
      <c r="M89" s="350" t="str">
        <f t="shared" si="24"/>
        <v/>
      </c>
      <c r="N89" s="377"/>
      <c r="O89" s="192" t="str">
        <f t="shared" si="17"/>
        <v/>
      </c>
      <c r="P89" s="192" t="str">
        <f>IF(O89="","",SUM($O$86:O89)+$Z$86)</f>
        <v/>
      </c>
      <c r="Q89" s="192" t="str">
        <f t="shared" si="25"/>
        <v/>
      </c>
      <c r="R89" s="193" t="str">
        <f>IF(J89="Duplex",VLOOKUP(M89,'Características dos Cabos MX CH'!$C$12:$I$14,5),(IF(J89="Triplex",VLOOKUP(M89,'Características dos Cabos MX CH'!$C$15:$J$20,5),(IF(J89="Quadruplex",VLOOKUP(M89,'Características dos Cabos MX CH'!$C$21:$K$27,5),(IF(J89="13",VLOOKUP(M89,'Características dos Cabos MX CH'!$C$15:$L$20,5),"")))))))</f>
        <v/>
      </c>
      <c r="S89" s="193" t="str">
        <f>IF(J89="Duplex",VLOOKUP(M89,'Características dos Cabos MX CH'!$C$12:$I$14,6),(IF(J89="Triplex",VLOOKUP(M89,'Características dos Cabos MX CH'!$C$15:$J$20,6),(IF(J89="Quadruplex",VLOOKUP(M89,'Características dos Cabos MX CH'!$C$21:$K$27,6),(IF(J89="13",VLOOKUP(M89,'Características dos Cabos MX CH'!$C$15:$L$20,6),"")))))))</f>
        <v/>
      </c>
      <c r="T89" s="194" t="str">
        <f t="shared" si="13"/>
        <v/>
      </c>
      <c r="U89" s="447" t="str">
        <f>IF(J89="Duplex",VLOOKUP(M89,'Características dos Cabos MX CH'!$C$12:$I$14,2),(IF(J89="Triplex",VLOOKUP(M89,'Características dos Cabos MX CH'!$C$15:$J$20,2),(IF(J89="Quadruplex",VLOOKUP(M89,'Características dos Cabos MX CH'!$C$21:$K$27,2),(IF(J89="13",VLOOKUP(M89,'Características dos Cabos MX CH'!$C$15:$L$20,2),"")))))))</f>
        <v/>
      </c>
      <c r="V89" s="193" t="str">
        <f>IF(J89="Duplex",VLOOKUP(M89,'Características dos Cabos MX CH'!$C$12:$I$14,3),(IF(J89="Triplex",VLOOKUP(M89,'Características dos Cabos MX CH'!$C$15:$J$20,3),(IF(J89="Quadruplex",VLOOKUP(M89,'Características dos Cabos MX CH'!$C$21:$K$27,3),(IF(J89="13",VLOOKUP(M89,'Características dos Cabos MX CH'!$C$15:$L$20,3),"")))))))</f>
        <v/>
      </c>
      <c r="W89" s="195" t="str">
        <f t="shared" si="18"/>
        <v/>
      </c>
      <c r="X89" s="195" t="str">
        <f t="shared" si="19"/>
        <v/>
      </c>
      <c r="Y89" s="196" t="str">
        <f t="shared" si="20"/>
        <v/>
      </c>
      <c r="AA89" s="396">
        <f t="shared" si="21"/>
        <v>0</v>
      </c>
      <c r="AB89" s="396">
        <f t="shared" si="26"/>
        <v>0</v>
      </c>
      <c r="AC89" s="395"/>
      <c r="AE89" s="357" t="str">
        <f t="shared" si="23"/>
        <v/>
      </c>
      <c r="AF89" s="426">
        <f t="shared" si="15"/>
        <v>0</v>
      </c>
      <c r="AO89" s="401"/>
      <c r="AP89" s="413">
        <v>400</v>
      </c>
      <c r="AQ89" s="413">
        <v>3.27</v>
      </c>
      <c r="AR89" s="403"/>
    </row>
    <row r="90" spans="1:44" ht="15" customHeight="1">
      <c r="A90" s="696"/>
      <c r="B90" s="698"/>
      <c r="C90" s="568"/>
      <c r="D90" s="567"/>
      <c r="E90" s="372"/>
      <c r="F90" s="189" t="str">
        <f t="shared" si="22"/>
        <v/>
      </c>
      <c r="G90" s="384"/>
      <c r="H90" s="190" t="str">
        <f>IF(AND(E90="",G90=""),"",SUM(F90:G95))</f>
        <v/>
      </c>
      <c r="I90" s="191"/>
      <c r="J90" s="222"/>
      <c r="K90" s="222"/>
      <c r="L90" s="197" t="str">
        <f>IF(J90="Duplex",VLOOKUP(M90,'Características dos Cabos MX CH'!$C$12:$I$14,7),(IF(J90="Triplex",VLOOKUP(M90,'Características dos Cabos MX CH'!$C$15:$J$20,8),(IF(J90="Quadruplex",VLOOKUP(M90,'Características dos Cabos MX CH'!$C$21:$K$27,9),(IF(J90="13",VLOOKUP(M90,'Características dos Cabos MX CH'!$C$15:$L$20,10),"")))))))</f>
        <v/>
      </c>
      <c r="M90" s="350" t="str">
        <f t="shared" si="24"/>
        <v/>
      </c>
      <c r="N90" s="377"/>
      <c r="O90" s="192" t="str">
        <f t="shared" si="17"/>
        <v/>
      </c>
      <c r="P90" s="192" t="str">
        <f>IF(O90="","",SUM($O$86:O90)+$Z$86)</f>
        <v/>
      </c>
      <c r="Q90" s="192" t="str">
        <f t="shared" si="25"/>
        <v/>
      </c>
      <c r="R90" s="193" t="str">
        <f>IF(J90="Duplex",VLOOKUP(M90,'Características dos Cabos MX CH'!$C$12:$I$14,5),(IF(J90="Triplex",VLOOKUP(M90,'Características dos Cabos MX CH'!$C$15:$J$20,5),(IF(J90="Quadruplex",VLOOKUP(M90,'Características dos Cabos MX CH'!$C$21:$K$27,5),(IF(J90="13",VLOOKUP(M90,'Características dos Cabos MX CH'!$C$15:$L$20,5),"")))))))</f>
        <v/>
      </c>
      <c r="S90" s="193" t="str">
        <f>IF(J90="Duplex",VLOOKUP(M90,'Características dos Cabos MX CH'!$C$12:$I$14,6),(IF(J90="Triplex",VLOOKUP(M90,'Características dos Cabos MX CH'!$C$15:$J$20,6),(IF(J90="Quadruplex",VLOOKUP(M90,'Características dos Cabos MX CH'!$C$21:$K$27,6),(IF(J90="13",VLOOKUP(M90,'Características dos Cabos MX CH'!$C$15:$L$20,6),"")))))))</f>
        <v/>
      </c>
      <c r="T90" s="194" t="str">
        <f t="shared" si="13"/>
        <v/>
      </c>
      <c r="U90" s="447" t="str">
        <f>IF(J90="Duplex",VLOOKUP(M90,'Características dos Cabos MX CH'!$C$12:$I$14,2),(IF(J90="Triplex",VLOOKUP(M90,'Características dos Cabos MX CH'!$C$15:$J$20,2),(IF(J90="Quadruplex",VLOOKUP(M90,'Características dos Cabos MX CH'!$C$21:$K$27,2),(IF(J90="13",VLOOKUP(M90,'Características dos Cabos MX CH'!$C$15:$L$20,2),"")))))))</f>
        <v/>
      </c>
      <c r="V90" s="193" t="str">
        <f>IF(J90="Duplex",VLOOKUP(M90,'Características dos Cabos MX CH'!$C$12:$I$14,3),(IF(J90="Triplex",VLOOKUP(M90,'Características dos Cabos MX CH'!$C$15:$J$20,3),(IF(J90="Quadruplex",VLOOKUP(M90,'Características dos Cabos MX CH'!$C$21:$K$27,3),(IF(J90="13",VLOOKUP(M90,'Características dos Cabos MX CH'!$C$15:$L$20,3),"")))))))</f>
        <v/>
      </c>
      <c r="W90" s="195" t="str">
        <f t="shared" si="18"/>
        <v/>
      </c>
      <c r="X90" s="195" t="str">
        <f t="shared" si="19"/>
        <v/>
      </c>
      <c r="Y90" s="196" t="str">
        <f t="shared" si="20"/>
        <v/>
      </c>
      <c r="AA90" s="396">
        <f t="shared" si="21"/>
        <v>0</v>
      </c>
      <c r="AB90" s="396">
        <f t="shared" si="26"/>
        <v>0</v>
      </c>
      <c r="AC90" s="395"/>
      <c r="AE90" s="357" t="str">
        <f t="shared" si="23"/>
        <v/>
      </c>
      <c r="AF90" s="426">
        <f t="shared" si="15"/>
        <v>0</v>
      </c>
      <c r="AO90" s="401"/>
      <c r="AP90" s="413">
        <v>410</v>
      </c>
      <c r="AQ90" s="413">
        <v>3.32</v>
      </c>
      <c r="AR90" s="403"/>
    </row>
    <row r="91" spans="1:44" ht="15" customHeight="1">
      <c r="A91" s="696"/>
      <c r="B91" s="698"/>
      <c r="C91" s="568"/>
      <c r="D91" s="567"/>
      <c r="E91" s="372"/>
      <c r="F91" s="189" t="str">
        <f t="shared" si="22"/>
        <v/>
      </c>
      <c r="G91" s="384"/>
      <c r="H91" s="190" t="str">
        <f>IF(AND(E91="",G91=""),"",SUM(F91:G95))</f>
        <v/>
      </c>
      <c r="I91" s="191"/>
      <c r="J91" s="222"/>
      <c r="K91" s="222"/>
      <c r="L91" s="197" t="str">
        <f>IF(J91="Duplex",VLOOKUP(M91,'Características dos Cabos MX CH'!$C$12:$I$14,7),(IF(J91="Triplex",VLOOKUP(M91,'Características dos Cabos MX CH'!$C$15:$J$20,8),(IF(J91="Quadruplex",VLOOKUP(M91,'Características dos Cabos MX CH'!$C$21:$K$27,9),(IF(J91="13",VLOOKUP(M91,'Características dos Cabos MX CH'!$C$15:$L$20,10),"")))))))</f>
        <v/>
      </c>
      <c r="M91" s="350" t="str">
        <f t="shared" si="24"/>
        <v/>
      </c>
      <c r="N91" s="377"/>
      <c r="O91" s="192" t="str">
        <f t="shared" si="17"/>
        <v/>
      </c>
      <c r="P91" s="192" t="str">
        <f>IF(O91="","",SUM($O$86:O91)+$Z$86)</f>
        <v/>
      </c>
      <c r="Q91" s="192" t="str">
        <f t="shared" si="25"/>
        <v/>
      </c>
      <c r="R91" s="193" t="str">
        <f>IF(J91="Duplex",VLOOKUP(M91,'Características dos Cabos MX CH'!$C$12:$I$14,5),(IF(J91="Triplex",VLOOKUP(M91,'Características dos Cabos MX CH'!$C$15:$J$20,5),(IF(J91="Quadruplex",VLOOKUP(M91,'Características dos Cabos MX CH'!$C$21:$K$27,5),(IF(J91="13",VLOOKUP(M91,'Características dos Cabos MX CH'!$C$15:$L$20,5),"")))))))</f>
        <v/>
      </c>
      <c r="S91" s="193" t="str">
        <f>IF(J91="Duplex",VLOOKUP(M91,'Características dos Cabos MX CH'!$C$12:$I$14,6),(IF(J91="Triplex",VLOOKUP(M91,'Características dos Cabos MX CH'!$C$15:$J$20,6),(IF(J91="Quadruplex",VLOOKUP(M91,'Características dos Cabos MX CH'!$C$21:$K$27,6),(IF(J91="13",VLOOKUP(M91,'Características dos Cabos MX CH'!$C$15:$L$20,6),"")))))))</f>
        <v/>
      </c>
      <c r="T91" s="194" t="str">
        <f t="shared" si="13"/>
        <v/>
      </c>
      <c r="U91" s="447" t="str">
        <f>IF(J91="Duplex",VLOOKUP(M91,'Características dos Cabos MX CH'!$C$12:$I$14,2),(IF(J91="Triplex",VLOOKUP(M91,'Características dos Cabos MX CH'!$C$15:$J$20,2),(IF(J91="Quadruplex",VLOOKUP(M91,'Características dos Cabos MX CH'!$C$21:$K$27,2),(IF(J91="13",VLOOKUP(M91,'Características dos Cabos MX CH'!$C$15:$L$20,2),"")))))))</f>
        <v/>
      </c>
      <c r="V91" s="193" t="str">
        <f>IF(J91="Duplex",VLOOKUP(M91,'Características dos Cabos MX CH'!$C$12:$I$14,3),(IF(J91="Triplex",VLOOKUP(M91,'Características dos Cabos MX CH'!$C$15:$J$20,3),(IF(J91="Quadruplex",VLOOKUP(M91,'Características dos Cabos MX CH'!$C$21:$K$27,3),(IF(J91="13",VLOOKUP(M91,'Características dos Cabos MX CH'!$C$15:$L$20,3),"")))))))</f>
        <v/>
      </c>
      <c r="W91" s="195" t="str">
        <f t="shared" si="18"/>
        <v/>
      </c>
      <c r="X91" s="195" t="str">
        <f t="shared" si="19"/>
        <v/>
      </c>
      <c r="Y91" s="196" t="str">
        <f t="shared" si="20"/>
        <v/>
      </c>
      <c r="AA91" s="396">
        <f t="shared" si="21"/>
        <v>0</v>
      </c>
      <c r="AB91" s="396">
        <f t="shared" si="26"/>
        <v>0</v>
      </c>
      <c r="AC91" s="395"/>
      <c r="AE91" s="357" t="str">
        <f t="shared" si="23"/>
        <v/>
      </c>
      <c r="AF91" s="426">
        <f t="shared" si="15"/>
        <v>0</v>
      </c>
      <c r="AO91" s="401"/>
      <c r="AP91" s="413">
        <v>420</v>
      </c>
      <c r="AQ91" s="413">
        <v>3.37</v>
      </c>
      <c r="AR91" s="403"/>
    </row>
    <row r="92" spans="1:44" ht="15" customHeight="1">
      <c r="A92" s="696"/>
      <c r="B92" s="698"/>
      <c r="C92" s="568"/>
      <c r="D92" s="567"/>
      <c r="E92" s="372"/>
      <c r="F92" s="189" t="str">
        <f t="shared" si="22"/>
        <v/>
      </c>
      <c r="G92" s="384"/>
      <c r="H92" s="190" t="str">
        <f>IF(AND(E92="",G92=""),"",SUM(F92:G95))</f>
        <v/>
      </c>
      <c r="I92" s="191"/>
      <c r="J92" s="222"/>
      <c r="K92" s="222"/>
      <c r="L92" s="197" t="str">
        <f>IF(J92="Duplex",VLOOKUP(M92,'Características dos Cabos MX CH'!$C$12:$I$14,7),(IF(J92="Triplex",VLOOKUP(M92,'Características dos Cabos MX CH'!$C$15:$J$20,8),(IF(J92="Quadruplex",VLOOKUP(M92,'Características dos Cabos MX CH'!$C$21:$K$27,9),(IF(J92="13",VLOOKUP(M92,'Características dos Cabos MX CH'!$C$15:$L$20,10),"")))))))</f>
        <v/>
      </c>
      <c r="M92" s="350" t="str">
        <f t="shared" si="24"/>
        <v/>
      </c>
      <c r="N92" s="377"/>
      <c r="O92" s="192" t="str">
        <f t="shared" si="17"/>
        <v/>
      </c>
      <c r="P92" s="192" t="str">
        <f>IF(O92="","",SUM($O$86:O92)+$Z$86)</f>
        <v/>
      </c>
      <c r="Q92" s="192" t="str">
        <f t="shared" si="25"/>
        <v/>
      </c>
      <c r="R92" s="193" t="str">
        <f>IF(J92="Duplex",VLOOKUP(M92,'Características dos Cabos MX CH'!$C$12:$I$14,5),(IF(J92="Triplex",VLOOKUP(M92,'Características dos Cabos MX CH'!$C$15:$J$20,5),(IF(J92="Quadruplex",VLOOKUP(M92,'Características dos Cabos MX CH'!$C$21:$K$27,5),(IF(J92="13",VLOOKUP(M92,'Características dos Cabos MX CH'!$C$15:$L$20,5),"")))))))</f>
        <v/>
      </c>
      <c r="S92" s="193" t="str">
        <f>IF(J92="Duplex",VLOOKUP(M92,'Características dos Cabos MX CH'!$C$12:$I$14,6),(IF(J92="Triplex",VLOOKUP(M92,'Características dos Cabos MX CH'!$C$15:$J$20,6),(IF(J92="Quadruplex",VLOOKUP(M92,'Características dos Cabos MX CH'!$C$21:$K$27,6),(IF(J92="13",VLOOKUP(M92,'Características dos Cabos MX CH'!$C$15:$L$20,6),"")))))))</f>
        <v/>
      </c>
      <c r="T92" s="194" t="str">
        <f t="shared" si="13"/>
        <v/>
      </c>
      <c r="U92" s="447" t="str">
        <f>IF(J92="Duplex",VLOOKUP(M92,'Características dos Cabos MX CH'!$C$12:$I$14,2),(IF(J92="Triplex",VLOOKUP(M92,'Características dos Cabos MX CH'!$C$15:$J$20,2),(IF(J92="Quadruplex",VLOOKUP(M92,'Características dos Cabos MX CH'!$C$21:$K$27,2),(IF(J92="13",VLOOKUP(M92,'Características dos Cabos MX CH'!$C$15:$L$20,2),"")))))))</f>
        <v/>
      </c>
      <c r="V92" s="193" t="str">
        <f>IF(J92="Duplex",VLOOKUP(M92,'Características dos Cabos MX CH'!$C$12:$I$14,3),(IF(J92="Triplex",VLOOKUP(M92,'Características dos Cabos MX CH'!$C$15:$J$20,3),(IF(J92="Quadruplex",VLOOKUP(M92,'Características dos Cabos MX CH'!$C$21:$K$27,3),(IF(J92="13",VLOOKUP(M92,'Características dos Cabos MX CH'!$C$15:$L$20,3),"")))))))</f>
        <v/>
      </c>
      <c r="W92" s="195" t="str">
        <f t="shared" si="18"/>
        <v/>
      </c>
      <c r="X92" s="195" t="str">
        <f t="shared" si="19"/>
        <v/>
      </c>
      <c r="Y92" s="196" t="str">
        <f t="shared" si="20"/>
        <v/>
      </c>
      <c r="AA92" s="396">
        <f t="shared" si="21"/>
        <v>0</v>
      </c>
      <c r="AB92" s="396">
        <f t="shared" si="26"/>
        <v>0</v>
      </c>
      <c r="AC92" s="395"/>
      <c r="AE92" s="357" t="str">
        <f t="shared" si="23"/>
        <v/>
      </c>
      <c r="AF92" s="426">
        <f t="shared" si="15"/>
        <v>0</v>
      </c>
      <c r="AO92" s="401"/>
      <c r="AP92" s="413">
        <v>430</v>
      </c>
      <c r="AQ92" s="413">
        <v>3.42</v>
      </c>
      <c r="AR92" s="403"/>
    </row>
    <row r="93" spans="1:44" ht="15" customHeight="1">
      <c r="A93" s="696"/>
      <c r="B93" s="698"/>
      <c r="C93" s="568"/>
      <c r="D93" s="368"/>
      <c r="E93" s="372"/>
      <c r="F93" s="189" t="str">
        <f t="shared" si="22"/>
        <v/>
      </c>
      <c r="G93" s="384"/>
      <c r="H93" s="190" t="str">
        <f>IF(AND(E93="",G93=""),"",SUM(F93:G95))</f>
        <v/>
      </c>
      <c r="I93" s="191"/>
      <c r="J93" s="222"/>
      <c r="K93" s="222"/>
      <c r="L93" s="197" t="str">
        <f>IF(J93="Duplex",VLOOKUP(M93,'Características dos Cabos MX CH'!$C$12:$I$14,7),(IF(J93="Triplex",VLOOKUP(M93,'Características dos Cabos MX CH'!$C$15:$J$20,8),(IF(J93="Quadruplex",VLOOKUP(M93,'Características dos Cabos MX CH'!$C$21:$K$27,9),(IF(J93="13",VLOOKUP(M93,'Características dos Cabos MX CH'!$C$15:$L$20,10),"")))))))</f>
        <v/>
      </c>
      <c r="M93" s="350" t="str">
        <f t="shared" si="24"/>
        <v/>
      </c>
      <c r="N93" s="377"/>
      <c r="O93" s="192" t="str">
        <f t="shared" si="17"/>
        <v/>
      </c>
      <c r="P93" s="192" t="str">
        <f>IF(O93="","",SUM($O$86:O93)+$Z$86)</f>
        <v/>
      </c>
      <c r="Q93" s="192" t="str">
        <f t="shared" si="25"/>
        <v/>
      </c>
      <c r="R93" s="193" t="str">
        <f>IF(J93="Duplex",VLOOKUP(M93,'Características dos Cabos MX CH'!$C$12:$I$14,5),(IF(J93="Triplex",VLOOKUP(M93,'Características dos Cabos MX CH'!$C$15:$J$20,5),(IF(J93="Quadruplex",VLOOKUP(M93,'Características dos Cabos MX CH'!$C$21:$K$27,5),(IF(J93="13",VLOOKUP(M93,'Características dos Cabos MX CH'!$C$15:$L$20,5),"")))))))</f>
        <v/>
      </c>
      <c r="S93" s="193" t="str">
        <f>IF(J93="Duplex",VLOOKUP(M93,'Características dos Cabos MX CH'!$C$12:$I$14,6),(IF(J93="Triplex",VLOOKUP(M93,'Características dos Cabos MX CH'!$C$15:$J$20,6),(IF(J93="Quadruplex",VLOOKUP(M93,'Características dos Cabos MX CH'!$C$21:$K$27,6),(IF(J93="13",VLOOKUP(M93,'Características dos Cabos MX CH'!$C$15:$L$20,6),"")))))))</f>
        <v/>
      </c>
      <c r="T93" s="194" t="str">
        <f t="shared" si="13"/>
        <v/>
      </c>
      <c r="U93" s="447" t="str">
        <f>IF(J93="Duplex",VLOOKUP(M93,'Características dos Cabos MX CH'!$C$12:$I$14,2),(IF(J93="Triplex",VLOOKUP(M93,'Características dos Cabos MX CH'!$C$15:$J$20,2),(IF(J93="Quadruplex",VLOOKUP(M93,'Características dos Cabos MX CH'!$C$21:$K$27,2),(IF(J93="13",VLOOKUP(M93,'Características dos Cabos MX CH'!$C$15:$L$20,2),"")))))))</f>
        <v/>
      </c>
      <c r="V93" s="193" t="str">
        <f>IF(J93="Duplex",VLOOKUP(M93,'Características dos Cabos MX CH'!$C$12:$I$14,3),(IF(J93="Triplex",VLOOKUP(M93,'Características dos Cabos MX CH'!$C$15:$J$20,3),(IF(J93="Quadruplex",VLOOKUP(M93,'Características dos Cabos MX CH'!$C$21:$K$27,3),(IF(J93="13",VLOOKUP(M93,'Características dos Cabos MX CH'!$C$15:$L$20,3),"")))))))</f>
        <v/>
      </c>
      <c r="W93" s="195" t="str">
        <f t="shared" si="18"/>
        <v/>
      </c>
      <c r="X93" s="195" t="str">
        <f t="shared" si="19"/>
        <v/>
      </c>
      <c r="Y93" s="196" t="str">
        <f t="shared" si="20"/>
        <v/>
      </c>
      <c r="AA93" s="396">
        <f t="shared" si="21"/>
        <v>0</v>
      </c>
      <c r="AB93" s="396">
        <f t="shared" si="26"/>
        <v>0</v>
      </c>
      <c r="AC93" s="395"/>
      <c r="AE93" s="357" t="str">
        <f t="shared" si="23"/>
        <v/>
      </c>
      <c r="AF93" s="426">
        <f t="shared" si="15"/>
        <v>0</v>
      </c>
      <c r="AO93" s="401"/>
      <c r="AP93" s="413">
        <v>440</v>
      </c>
      <c r="AQ93" s="413">
        <v>3.47</v>
      </c>
      <c r="AR93" s="403"/>
    </row>
    <row r="94" spans="1:44" ht="15" customHeight="1">
      <c r="A94" s="696"/>
      <c r="B94" s="698"/>
      <c r="C94" s="568"/>
      <c r="D94" s="368"/>
      <c r="E94" s="372"/>
      <c r="F94" s="189" t="str">
        <f t="shared" si="22"/>
        <v/>
      </c>
      <c r="G94" s="384"/>
      <c r="H94" s="190" t="str">
        <f>IF(AND(E94="",G94=""),"",SUM(F94:G95))</f>
        <v/>
      </c>
      <c r="I94" s="191"/>
      <c r="J94" s="222"/>
      <c r="K94" s="222"/>
      <c r="L94" s="197" t="str">
        <f>IF(J94="Duplex",VLOOKUP(M94,'Características dos Cabos MX CH'!$C$12:$I$14,7),(IF(J94="Triplex",VLOOKUP(M94,'Características dos Cabos MX CH'!$C$15:$J$20,8),(IF(J94="Quadruplex",VLOOKUP(M94,'Características dos Cabos MX CH'!$C$21:$K$27,9),(IF(J94="13",VLOOKUP(M94,'Características dos Cabos MX CH'!$C$15:$L$20,10),"")))))))</f>
        <v/>
      </c>
      <c r="M94" s="350" t="str">
        <f t="shared" si="24"/>
        <v/>
      </c>
      <c r="N94" s="377"/>
      <c r="O94" s="192" t="str">
        <f t="shared" si="17"/>
        <v/>
      </c>
      <c r="P94" s="192" t="str">
        <f>IF(O94="","",SUM($O$86:O94)+$Z$86)</f>
        <v/>
      </c>
      <c r="Q94" s="192" t="str">
        <f t="shared" si="25"/>
        <v/>
      </c>
      <c r="R94" s="193" t="str">
        <f>IF(J94="Duplex",VLOOKUP(M94,'Características dos Cabos MX CH'!$C$12:$I$14,5),(IF(J94="Triplex",VLOOKUP(M94,'Características dos Cabos MX CH'!$C$15:$J$20,5),(IF(J94="Quadruplex",VLOOKUP(M94,'Características dos Cabos MX CH'!$C$21:$K$27,5),(IF(J94="13",VLOOKUP(M94,'Características dos Cabos MX CH'!$C$15:$L$20,5),"")))))))</f>
        <v/>
      </c>
      <c r="S94" s="193" t="str">
        <f>IF(J94="Duplex",VLOOKUP(M94,'Características dos Cabos MX CH'!$C$12:$I$14,6),(IF(J94="Triplex",VLOOKUP(M94,'Características dos Cabos MX CH'!$C$15:$J$20,6),(IF(J94="Quadruplex",VLOOKUP(M94,'Características dos Cabos MX CH'!$C$21:$K$27,6),(IF(J94="13",VLOOKUP(M94,'Características dos Cabos MX CH'!$C$15:$L$20,6),"")))))))</f>
        <v/>
      </c>
      <c r="T94" s="194" t="str">
        <f t="shared" si="13"/>
        <v/>
      </c>
      <c r="U94" s="447" t="str">
        <f>IF(J94="Duplex",VLOOKUP(M94,'Características dos Cabos MX CH'!$C$12:$I$14,2),(IF(J94="Triplex",VLOOKUP(M94,'Características dos Cabos MX CH'!$C$15:$J$20,2),(IF(J94="Quadruplex",VLOOKUP(M94,'Características dos Cabos MX CH'!$C$21:$K$27,2),(IF(J94="13",VLOOKUP(M94,'Características dos Cabos MX CH'!$C$15:$L$20,2),"")))))))</f>
        <v/>
      </c>
      <c r="V94" s="193" t="str">
        <f>IF(J94="Duplex",VLOOKUP(M94,'Características dos Cabos MX CH'!$C$12:$I$14,3),(IF(J94="Triplex",VLOOKUP(M94,'Características dos Cabos MX CH'!$C$15:$J$20,3),(IF(J94="Quadruplex",VLOOKUP(M94,'Características dos Cabos MX CH'!$C$21:$K$27,3),(IF(J94="13",VLOOKUP(M94,'Características dos Cabos MX CH'!$C$15:$L$20,3),"")))))))</f>
        <v/>
      </c>
      <c r="W94" s="195" t="str">
        <f t="shared" si="18"/>
        <v/>
      </c>
      <c r="X94" s="195" t="str">
        <f t="shared" si="19"/>
        <v/>
      </c>
      <c r="Y94" s="196" t="str">
        <f t="shared" si="20"/>
        <v/>
      </c>
      <c r="AA94" s="396">
        <f t="shared" si="21"/>
        <v>0</v>
      </c>
      <c r="AB94" s="396">
        <f t="shared" si="26"/>
        <v>0</v>
      </c>
      <c r="AC94" s="395"/>
      <c r="AE94" s="357" t="str">
        <f t="shared" si="23"/>
        <v/>
      </c>
      <c r="AF94" s="426">
        <f t="shared" si="15"/>
        <v>0</v>
      </c>
      <c r="AO94" s="401"/>
      <c r="AP94" s="413">
        <v>450</v>
      </c>
      <c r="AQ94" s="413">
        <v>3.52</v>
      </c>
      <c r="AR94" s="403"/>
    </row>
    <row r="95" spans="1:44" ht="15" customHeight="1" thickBot="1">
      <c r="A95" s="696"/>
      <c r="B95" s="699"/>
      <c r="C95" s="568"/>
      <c r="D95" s="370"/>
      <c r="E95" s="369"/>
      <c r="F95" s="199" t="str">
        <f t="shared" si="22"/>
        <v/>
      </c>
      <c r="G95" s="385"/>
      <c r="H95" s="200" t="str">
        <f>IF(AND(E95="",G95=""),"",SUM(F95:G95))</f>
        <v/>
      </c>
      <c r="I95" s="201"/>
      <c r="J95" s="223"/>
      <c r="K95" s="223"/>
      <c r="L95" s="202" t="str">
        <f>IF(J95="Duplex",VLOOKUP(M95,'Características dos Cabos MX CH'!$C$12:$I$14,7),(IF(J95="Triplex",VLOOKUP(M95,'Características dos Cabos MX CH'!$C$15:$J$20,8),(IF(J95="Quadruplex",VLOOKUP(M95,'Características dos Cabos MX CH'!$C$21:$K$27,9),(IF(J95="13",VLOOKUP(M95,'Características dos Cabos MX CH'!$C$15:$L$20,10),"")))))))</f>
        <v/>
      </c>
      <c r="M95" s="353" t="str">
        <f t="shared" si="24"/>
        <v/>
      </c>
      <c r="N95" s="378"/>
      <c r="O95" s="203" t="str">
        <f t="shared" si="17"/>
        <v/>
      </c>
      <c r="P95" s="192" t="str">
        <f>IF(O95="","",SUM($O$86:O95)+$Z$86)</f>
        <v/>
      </c>
      <c r="Q95" s="203" t="str">
        <f t="shared" si="25"/>
        <v/>
      </c>
      <c r="R95" s="204" t="str">
        <f>IF(J95="Duplex",VLOOKUP(M95,'Características dos Cabos MX CH'!$C$12:$I$14,5),(IF(J95="Triplex",VLOOKUP(M95,'Características dos Cabos MX CH'!$C$15:$J$20,5),(IF(J95="Quadruplex",VLOOKUP(M95,'Características dos Cabos MX CH'!$C$21:$K$27,5),(IF(J95="13",VLOOKUP(M95,'Características dos Cabos MX CH'!$C$15:$L$20,5),"")))))))</f>
        <v/>
      </c>
      <c r="S95" s="204" t="str">
        <f>IF(J95="Duplex",VLOOKUP(M95,'Características dos Cabos MX CH'!$C$12:$I$14,6),(IF(J95="Triplex",VLOOKUP(M95,'Características dos Cabos MX CH'!$C$15:$J$20,6),(IF(J95="Quadruplex",VLOOKUP(M95,'Características dos Cabos MX CH'!$C$21:$K$27,6),(IF(J95="13",VLOOKUP(M95,'Características dos Cabos MX CH'!$C$15:$L$20,6),"")))))))</f>
        <v/>
      </c>
      <c r="T95" s="205" t="str">
        <f t="shared" si="13"/>
        <v/>
      </c>
      <c r="U95" s="448" t="str">
        <f>IF(J95="Duplex",VLOOKUP(M95,'Características dos Cabos MX CH'!$C$12:$I$14,2),(IF(J95="Triplex",VLOOKUP(M95,'Características dos Cabos MX CH'!$C$15:$J$20,2),(IF(J95="Quadruplex",VLOOKUP(M95,'Características dos Cabos MX CH'!$C$21:$K$27,2),(IF(J95="13",VLOOKUP(M95,'Características dos Cabos MX CH'!$C$15:$L$20,2),"")))))))</f>
        <v/>
      </c>
      <c r="V95" s="204" t="str">
        <f>IF(J95="Duplex",VLOOKUP(M95,'Características dos Cabos MX CH'!$C$12:$I$14,3),(IF(J95="Triplex",VLOOKUP(M95,'Características dos Cabos MX CH'!$C$15:$J$20,3),(IF(J95="Quadruplex",VLOOKUP(M95,'Características dos Cabos MX CH'!$C$21:$K$27,3),(IF(J95="13",VLOOKUP(M95,'Características dos Cabos MX CH'!$C$15:$L$20,3),"")))))))</f>
        <v/>
      </c>
      <c r="W95" s="206" t="str">
        <f t="shared" si="18"/>
        <v/>
      </c>
      <c r="X95" s="206" t="str">
        <f t="shared" si="19"/>
        <v/>
      </c>
      <c r="Y95" s="207" t="str">
        <f t="shared" si="20"/>
        <v/>
      </c>
      <c r="AA95" s="396">
        <f t="shared" si="21"/>
        <v>0</v>
      </c>
      <c r="AB95" s="396">
        <f t="shared" si="26"/>
        <v>0</v>
      </c>
      <c r="AC95" s="395"/>
      <c r="AE95" s="357" t="str">
        <f t="shared" si="23"/>
        <v/>
      </c>
      <c r="AF95" s="426">
        <f t="shared" si="15"/>
        <v>0</v>
      </c>
      <c r="AO95" s="401"/>
      <c r="AP95" s="413">
        <v>460</v>
      </c>
      <c r="AQ95" s="413">
        <v>3.56</v>
      </c>
      <c r="AR95" s="403"/>
    </row>
    <row r="96" spans="1:44" ht="15" customHeight="1" thickTop="1">
      <c r="A96" s="696"/>
      <c r="B96" s="700" t="str">
        <f>CONCATENATE("Ramal 6 - Derivando no ponto ",C96)</f>
        <v xml:space="preserve">Ramal 6 - Derivando no ponto </v>
      </c>
      <c r="C96" s="572"/>
      <c r="D96" s="573"/>
      <c r="E96" s="374"/>
      <c r="F96" s="208" t="str">
        <f t="shared" si="22"/>
        <v/>
      </c>
      <c r="G96" s="386"/>
      <c r="H96" s="209" t="str">
        <f>IF(AND(E96="",G96=""),"",SUM(F96:G105))</f>
        <v/>
      </c>
      <c r="I96" s="210"/>
      <c r="J96" s="224"/>
      <c r="K96" s="224"/>
      <c r="L96" s="211" t="str">
        <f>IF(J96="Duplex",VLOOKUP(M96,'Características dos Cabos MX CH'!$C$12:$I$14,7),(IF(J96="Triplex",VLOOKUP(M96,'Características dos Cabos MX CH'!$C$15:$J$20,8),(IF(J96="Quadruplex",VLOOKUP(M96,'Características dos Cabos MX CH'!$C$21:$K$27,9),(IF(J96="13",VLOOKUP(M96,'Características dos Cabos MX CH'!$C$15:$L$20,10),"")))))))</f>
        <v/>
      </c>
      <c r="M96" s="354" t="str">
        <f t="shared" si="24"/>
        <v/>
      </c>
      <c r="N96" s="379"/>
      <c r="O96" s="212" t="str">
        <f t="shared" si="17"/>
        <v/>
      </c>
      <c r="P96" s="217" t="str">
        <f>IF(O96="","",O96+VLOOKUP(C96,$D$20:$Q$95,13,FALSE))</f>
        <v/>
      </c>
      <c r="Q96" s="212" t="str">
        <f t="shared" si="25"/>
        <v/>
      </c>
      <c r="R96" s="213" t="str">
        <f>IF(J96="Duplex",VLOOKUP(M96,'Características dos Cabos MX CH'!$C$12:$I$14,5),(IF(J96="Triplex",VLOOKUP(M96,'Características dos Cabos MX CH'!$C$15:$J$20,5),(IF(J96="Quadruplex",VLOOKUP(M96,'Características dos Cabos MX CH'!$C$21:$K$27,5),(IF(J96="13",VLOOKUP(M96,'Características dos Cabos MX CH'!$C$15:$L$20,5),"")))))))</f>
        <v/>
      </c>
      <c r="S96" s="213" t="str">
        <f>IF(J96="Duplex",VLOOKUP(M96,'Características dos Cabos MX CH'!$C$12:$I$14,6),(IF(J96="Triplex",VLOOKUP(M96,'Características dos Cabos MX CH'!$C$15:$J$20,6),(IF(J96="Quadruplex",VLOOKUP(M96,'Características dos Cabos MX CH'!$C$21:$K$27,6),(IF(J96="13",VLOOKUP(M96,'Características dos Cabos MX CH'!$C$15:$L$20,6),"")))))))</f>
        <v/>
      </c>
      <c r="T96" s="214" t="str">
        <f t="shared" si="13"/>
        <v/>
      </c>
      <c r="U96" s="450" t="str">
        <f>IF(J96="Duplex",VLOOKUP(M96,'Características dos Cabos MX CH'!$C$12:$I$14,2),(IF(J96="Triplex",VLOOKUP(M96,'Características dos Cabos MX CH'!$C$15:$J$20,2),(IF(J96="Quadruplex",VLOOKUP(M96,'Características dos Cabos MX CH'!$C$21:$K$27,2),(IF(J96="13",VLOOKUP(M96,'Características dos Cabos MX CH'!$C$15:$L$20,2),"")))))))</f>
        <v/>
      </c>
      <c r="V96" s="213" t="str">
        <f>IF(J96="Duplex",VLOOKUP(M96,'Características dos Cabos MX CH'!$C$12:$I$14,3),(IF(J96="Triplex",VLOOKUP(M96,'Características dos Cabos MX CH'!$C$15:$J$20,3),(IF(J96="Quadruplex",VLOOKUP(M96,'Características dos Cabos MX CH'!$C$21:$K$27,3),(IF(J96="13",VLOOKUP(M96,'Características dos Cabos MX CH'!$C$15:$L$20,3),"")))))))</f>
        <v/>
      </c>
      <c r="W96" s="215" t="str">
        <f t="shared" si="18"/>
        <v/>
      </c>
      <c r="X96" s="215" t="str">
        <f t="shared" si="19"/>
        <v/>
      </c>
      <c r="Y96" s="216" t="str">
        <f t="shared" si="20"/>
        <v/>
      </c>
      <c r="Z96" s="393" t="str">
        <f>IF(O96="","",VLOOKUP(C96,$D$20:$P$95,13,FALSE))</f>
        <v/>
      </c>
      <c r="AA96" s="396">
        <f t="shared" si="21"/>
        <v>0</v>
      </c>
      <c r="AB96" s="396">
        <f t="shared" si="26"/>
        <v>0</v>
      </c>
      <c r="AC96" s="395"/>
      <c r="AE96" s="357" t="str">
        <f t="shared" si="23"/>
        <v/>
      </c>
      <c r="AF96" s="426">
        <f t="shared" si="15"/>
        <v>0</v>
      </c>
      <c r="AO96" s="401"/>
      <c r="AP96" s="413">
        <v>470</v>
      </c>
      <c r="AQ96" s="413">
        <v>3.61</v>
      </c>
      <c r="AR96" s="403"/>
    </row>
    <row r="97" spans="1:44" ht="15" customHeight="1">
      <c r="A97" s="696"/>
      <c r="B97" s="698"/>
      <c r="C97" s="562"/>
      <c r="D97" s="567"/>
      <c r="E97" s="372"/>
      <c r="F97" s="189" t="str">
        <f t="shared" si="22"/>
        <v/>
      </c>
      <c r="G97" s="384"/>
      <c r="H97" s="190" t="str">
        <f>IF(AND(E97="",G97=""),"",SUM(F97:G105))</f>
        <v/>
      </c>
      <c r="I97" s="191"/>
      <c r="J97" s="222"/>
      <c r="K97" s="222"/>
      <c r="L97" s="197" t="str">
        <f>IF(J97="Duplex",VLOOKUP(M97,'Características dos Cabos MX CH'!$C$12:$I$14,7),(IF(J97="Triplex",VLOOKUP(M97,'Características dos Cabos MX CH'!$C$15:$J$20,8),(IF(J97="Quadruplex",VLOOKUP(M97,'Características dos Cabos MX CH'!$C$21:$K$27,9),(IF(J97="13",VLOOKUP(M97,'Características dos Cabos MX CH'!$C$15:$L$20,10),"")))))))</f>
        <v/>
      </c>
      <c r="M97" s="350" t="str">
        <f t="shared" si="24"/>
        <v/>
      </c>
      <c r="N97" s="377"/>
      <c r="O97" s="192" t="str">
        <f t="shared" si="17"/>
        <v/>
      </c>
      <c r="P97" s="192" t="str">
        <f>IF(O97="","",SUM($O$96:O97)+$Z$96)</f>
        <v/>
      </c>
      <c r="Q97" s="192" t="str">
        <f t="shared" si="25"/>
        <v/>
      </c>
      <c r="R97" s="193" t="str">
        <f>IF(J97="Duplex",VLOOKUP(M97,'Características dos Cabos MX CH'!$C$12:$I$14,5),(IF(J97="Triplex",VLOOKUP(M97,'Características dos Cabos MX CH'!$C$15:$J$20,5),(IF(J97="Quadruplex",VLOOKUP(M97,'Características dos Cabos MX CH'!$C$21:$K$27,5),(IF(J97="13",VLOOKUP(M97,'Características dos Cabos MX CH'!$C$15:$L$20,5),"")))))))</f>
        <v/>
      </c>
      <c r="S97" s="193" t="str">
        <f>IF(J97="Duplex",VLOOKUP(M97,'Características dos Cabos MX CH'!$C$12:$I$14,6),(IF(J97="Triplex",VLOOKUP(M97,'Características dos Cabos MX CH'!$C$15:$J$20,6),(IF(J97="Quadruplex",VLOOKUP(M97,'Características dos Cabos MX CH'!$C$21:$K$27,6),(IF(J97="13",VLOOKUP(M97,'Características dos Cabos MX CH'!$C$15:$L$20,6),"")))))))</f>
        <v/>
      </c>
      <c r="T97" s="194" t="str">
        <f t="shared" si="13"/>
        <v/>
      </c>
      <c r="U97" s="447" t="str">
        <f>IF(J97="Duplex",VLOOKUP(M97,'Características dos Cabos MX CH'!$C$12:$I$14,2),(IF(J97="Triplex",VLOOKUP(M97,'Características dos Cabos MX CH'!$C$15:$J$20,2),(IF(J97="Quadruplex",VLOOKUP(M97,'Características dos Cabos MX CH'!$C$21:$K$27,2),(IF(J97="13",VLOOKUP(M97,'Características dos Cabos MX CH'!$C$15:$L$20,2),"")))))))</f>
        <v/>
      </c>
      <c r="V97" s="193" t="str">
        <f>IF(J97="Duplex",VLOOKUP(M97,'Características dos Cabos MX CH'!$C$12:$I$14,3),(IF(J97="Triplex",VLOOKUP(M97,'Características dos Cabos MX CH'!$C$15:$J$20,3),(IF(J97="Quadruplex",VLOOKUP(M97,'Características dos Cabos MX CH'!$C$21:$K$27,3),(IF(J97="13",VLOOKUP(M97,'Características dos Cabos MX CH'!$C$15:$L$20,3),"")))))))</f>
        <v/>
      </c>
      <c r="W97" s="195" t="str">
        <f t="shared" si="18"/>
        <v/>
      </c>
      <c r="X97" s="195" t="str">
        <f t="shared" si="19"/>
        <v/>
      </c>
      <c r="Y97" s="196" t="str">
        <f t="shared" si="20"/>
        <v/>
      </c>
      <c r="AA97" s="396">
        <f t="shared" si="21"/>
        <v>0</v>
      </c>
      <c r="AB97" s="396">
        <f t="shared" si="26"/>
        <v>0</v>
      </c>
      <c r="AC97" s="395"/>
      <c r="AE97" s="357" t="str">
        <f t="shared" si="23"/>
        <v/>
      </c>
      <c r="AF97" s="426">
        <f t="shared" si="15"/>
        <v>0</v>
      </c>
      <c r="AO97" s="401"/>
      <c r="AP97" s="413">
        <v>480</v>
      </c>
      <c r="AQ97" s="413">
        <v>3.66</v>
      </c>
      <c r="AR97" s="403"/>
    </row>
    <row r="98" spans="1:44" ht="15" customHeight="1">
      <c r="A98" s="696"/>
      <c r="B98" s="698"/>
      <c r="C98" s="568"/>
      <c r="D98" s="567"/>
      <c r="E98" s="372"/>
      <c r="F98" s="189" t="str">
        <f t="shared" si="22"/>
        <v/>
      </c>
      <c r="G98" s="384"/>
      <c r="H98" s="190" t="str">
        <f>IF(AND(E98="",G98=""),"",SUM(F98:G105))</f>
        <v/>
      </c>
      <c r="I98" s="191"/>
      <c r="J98" s="222"/>
      <c r="K98" s="222"/>
      <c r="L98" s="197" t="str">
        <f>IF(J98="Duplex",VLOOKUP(M98,'Características dos Cabos MX CH'!$C$12:$I$14,7),(IF(J98="Triplex",VLOOKUP(M98,'Características dos Cabos MX CH'!$C$15:$J$20,8),(IF(J98="Quadruplex",VLOOKUP(M98,'Características dos Cabos MX CH'!$C$21:$K$27,9),(IF(J98="13",VLOOKUP(M98,'Características dos Cabos MX CH'!$C$15:$L$20,10),"")))))))</f>
        <v/>
      </c>
      <c r="M98" s="350" t="str">
        <f t="shared" si="24"/>
        <v/>
      </c>
      <c r="N98" s="377"/>
      <c r="O98" s="192" t="str">
        <f t="shared" si="17"/>
        <v/>
      </c>
      <c r="P98" s="192" t="str">
        <f>IF(O98="","",SUM($O$96:O98)+$Z$96)</f>
        <v/>
      </c>
      <c r="Q98" s="192" t="str">
        <f t="shared" si="25"/>
        <v/>
      </c>
      <c r="R98" s="193" t="str">
        <f>IF(J98="Duplex",VLOOKUP(M98,'Características dos Cabos MX CH'!$C$12:$I$14,5),(IF(J98="Triplex",VLOOKUP(M98,'Características dos Cabos MX CH'!$C$15:$J$20,5),(IF(J98="Quadruplex",VLOOKUP(M98,'Características dos Cabos MX CH'!$C$21:$K$27,5),(IF(J98="13",VLOOKUP(M98,'Características dos Cabos MX CH'!$C$15:$L$20,5),"")))))))</f>
        <v/>
      </c>
      <c r="S98" s="193" t="str">
        <f>IF(J98="Duplex",VLOOKUP(M98,'Características dos Cabos MX CH'!$C$12:$I$14,6),(IF(J98="Triplex",VLOOKUP(M98,'Características dos Cabos MX CH'!$C$15:$J$20,6),(IF(J98="Quadruplex",VLOOKUP(M98,'Características dos Cabos MX CH'!$C$21:$K$27,6),(IF(J98="13",VLOOKUP(M98,'Características dos Cabos MX CH'!$C$15:$L$20,6),"")))))))</f>
        <v/>
      </c>
      <c r="T98" s="194" t="str">
        <f t="shared" si="13"/>
        <v/>
      </c>
      <c r="U98" s="447" t="str">
        <f>IF(J98="Duplex",VLOOKUP(M98,'Características dos Cabos MX CH'!$C$12:$I$14,2),(IF(J98="Triplex",VLOOKUP(M98,'Características dos Cabos MX CH'!$C$15:$J$20,2),(IF(J98="Quadruplex",VLOOKUP(M98,'Características dos Cabos MX CH'!$C$21:$K$27,2),(IF(J98="13",VLOOKUP(M98,'Características dos Cabos MX CH'!$C$15:$L$20,2),"")))))))</f>
        <v/>
      </c>
      <c r="V98" s="193" t="str">
        <f>IF(J98="Duplex",VLOOKUP(M98,'Características dos Cabos MX CH'!$C$12:$I$14,3),(IF(J98="Triplex",VLOOKUP(M98,'Características dos Cabos MX CH'!$C$15:$J$20,3),(IF(J98="Quadruplex",VLOOKUP(M98,'Características dos Cabos MX CH'!$C$21:$K$27,3),(IF(J98="13",VLOOKUP(M98,'Características dos Cabos MX CH'!$C$15:$L$20,3),"")))))))</f>
        <v/>
      </c>
      <c r="W98" s="195" t="str">
        <f t="shared" si="18"/>
        <v/>
      </c>
      <c r="X98" s="195" t="str">
        <f t="shared" si="19"/>
        <v/>
      </c>
      <c r="Y98" s="196" t="str">
        <f t="shared" si="20"/>
        <v/>
      </c>
      <c r="AA98" s="396">
        <f t="shared" si="21"/>
        <v>0</v>
      </c>
      <c r="AB98" s="396">
        <f t="shared" si="26"/>
        <v>0</v>
      </c>
      <c r="AC98" s="395"/>
      <c r="AE98" s="357" t="str">
        <f t="shared" si="23"/>
        <v/>
      </c>
      <c r="AF98" s="426">
        <f t="shared" si="15"/>
        <v>0</v>
      </c>
      <c r="AO98" s="401"/>
      <c r="AP98" s="413">
        <v>490</v>
      </c>
      <c r="AQ98" s="413">
        <v>3.71</v>
      </c>
      <c r="AR98" s="403"/>
    </row>
    <row r="99" spans="1:44" ht="15" customHeight="1">
      <c r="A99" s="696"/>
      <c r="B99" s="698"/>
      <c r="C99" s="568"/>
      <c r="D99" s="567"/>
      <c r="E99" s="372"/>
      <c r="F99" s="189" t="str">
        <f t="shared" si="22"/>
        <v/>
      </c>
      <c r="G99" s="384"/>
      <c r="H99" s="190" t="str">
        <f>IF(AND(E99="",G99=""),"",SUM(F99:G105))</f>
        <v/>
      </c>
      <c r="I99" s="191"/>
      <c r="J99" s="222"/>
      <c r="K99" s="222"/>
      <c r="L99" s="197" t="str">
        <f>IF(J99="Duplex",VLOOKUP(M99,'Características dos Cabos MX CH'!$C$12:$I$14,7),(IF(J99="Triplex",VLOOKUP(M99,'Características dos Cabos MX CH'!$C$15:$J$20,8),(IF(J99="Quadruplex",VLOOKUP(M99,'Características dos Cabos MX CH'!$C$21:$K$27,9),(IF(J99="13",VLOOKUP(M99,'Características dos Cabos MX CH'!$C$15:$L$20,10),"")))))))</f>
        <v/>
      </c>
      <c r="M99" s="350" t="str">
        <f t="shared" si="24"/>
        <v/>
      </c>
      <c r="N99" s="377"/>
      <c r="O99" s="192" t="str">
        <f t="shared" si="17"/>
        <v/>
      </c>
      <c r="P99" s="192" t="str">
        <f>IF(O99="","",SUM($O$96:O99)+$Z$96)</f>
        <v/>
      </c>
      <c r="Q99" s="192" t="str">
        <f t="shared" si="25"/>
        <v/>
      </c>
      <c r="R99" s="193" t="str">
        <f>IF(J99="Duplex",VLOOKUP(M99,'Características dos Cabos MX CH'!$C$12:$I$14,5),(IF(J99="Triplex",VLOOKUP(M99,'Características dos Cabos MX CH'!$C$15:$J$20,5),(IF(J99="Quadruplex",VLOOKUP(M99,'Características dos Cabos MX CH'!$C$21:$K$27,5),(IF(J99="13",VLOOKUP(M99,'Características dos Cabos MX CH'!$C$15:$L$20,5),"")))))))</f>
        <v/>
      </c>
      <c r="S99" s="193" t="str">
        <f>IF(J99="Duplex",VLOOKUP(M99,'Características dos Cabos MX CH'!$C$12:$I$14,6),(IF(J99="Triplex",VLOOKUP(M99,'Características dos Cabos MX CH'!$C$15:$J$20,6),(IF(J99="Quadruplex",VLOOKUP(M99,'Características dos Cabos MX CH'!$C$21:$K$27,6),(IF(J99="13",VLOOKUP(M99,'Características dos Cabos MX CH'!$C$15:$L$20,6),"")))))))</f>
        <v/>
      </c>
      <c r="T99" s="194" t="str">
        <f t="shared" si="13"/>
        <v/>
      </c>
      <c r="U99" s="447" t="str">
        <f>IF(J99="Duplex",VLOOKUP(M99,'Características dos Cabos MX CH'!$C$12:$I$14,2),(IF(J99="Triplex",VLOOKUP(M99,'Características dos Cabos MX CH'!$C$15:$J$20,2),(IF(J99="Quadruplex",VLOOKUP(M99,'Características dos Cabos MX CH'!$C$21:$K$27,2),(IF(J99="13",VLOOKUP(M99,'Características dos Cabos MX CH'!$C$15:$L$20,2),"")))))))</f>
        <v/>
      </c>
      <c r="V99" s="193" t="str">
        <f>IF(J99="Duplex",VLOOKUP(M99,'Características dos Cabos MX CH'!$C$12:$I$14,3),(IF(J99="Triplex",VLOOKUP(M99,'Características dos Cabos MX CH'!$C$15:$J$20,3),(IF(J99="Quadruplex",VLOOKUP(M99,'Características dos Cabos MX CH'!$C$21:$K$27,3),(IF(J99="13",VLOOKUP(M99,'Características dos Cabos MX CH'!$C$15:$L$20,3),"")))))))</f>
        <v/>
      </c>
      <c r="W99" s="195" t="str">
        <f t="shared" si="18"/>
        <v/>
      </c>
      <c r="X99" s="195" t="str">
        <f t="shared" si="19"/>
        <v/>
      </c>
      <c r="Y99" s="196" t="str">
        <f t="shared" si="20"/>
        <v/>
      </c>
      <c r="AA99" s="396">
        <f t="shared" si="21"/>
        <v>0</v>
      </c>
      <c r="AB99" s="396">
        <f t="shared" si="26"/>
        <v>0</v>
      </c>
      <c r="AC99" s="395"/>
      <c r="AE99" s="357" t="str">
        <f t="shared" si="23"/>
        <v/>
      </c>
      <c r="AF99" s="426">
        <f t="shared" si="15"/>
        <v>0</v>
      </c>
      <c r="AO99" s="401"/>
      <c r="AP99" s="413">
        <v>500</v>
      </c>
      <c r="AQ99" s="413">
        <v>3.76</v>
      </c>
      <c r="AR99" s="403"/>
    </row>
    <row r="100" spans="1:44" ht="15" customHeight="1">
      <c r="A100" s="696"/>
      <c r="B100" s="698"/>
      <c r="C100" s="568"/>
      <c r="D100" s="567"/>
      <c r="E100" s="372"/>
      <c r="F100" s="189" t="str">
        <f t="shared" si="22"/>
        <v/>
      </c>
      <c r="G100" s="384"/>
      <c r="H100" s="190" t="str">
        <f>IF(AND(E100="",G100=""),"",SUM(F100:G105))</f>
        <v/>
      </c>
      <c r="I100" s="191"/>
      <c r="J100" s="222"/>
      <c r="K100" s="222"/>
      <c r="L100" s="197" t="str">
        <f>IF(J100="Duplex",VLOOKUP(M100,'Características dos Cabos MX CH'!$C$12:$I$14,7),(IF(J100="Triplex",VLOOKUP(M100,'Características dos Cabos MX CH'!$C$15:$J$20,8),(IF(J100="Quadruplex",VLOOKUP(M100,'Características dos Cabos MX CH'!$C$21:$K$27,9),(IF(J100="13",VLOOKUP(M100,'Características dos Cabos MX CH'!$C$15:$L$20,10),"")))))))</f>
        <v/>
      </c>
      <c r="M100" s="350" t="str">
        <f t="shared" si="24"/>
        <v/>
      </c>
      <c r="N100" s="377"/>
      <c r="O100" s="192" t="str">
        <f t="shared" si="17"/>
        <v/>
      </c>
      <c r="P100" s="192" t="str">
        <f>IF(O100="","",SUM($O$96:O100)+$Z$96)</f>
        <v/>
      </c>
      <c r="Q100" s="192" t="str">
        <f t="shared" si="25"/>
        <v/>
      </c>
      <c r="R100" s="193" t="str">
        <f>IF(J100="Duplex",VLOOKUP(M100,'Características dos Cabos MX CH'!$C$12:$I$14,5),(IF(J100="Triplex",VLOOKUP(M100,'Características dos Cabos MX CH'!$C$15:$J$20,5),(IF(J100="Quadruplex",VLOOKUP(M100,'Características dos Cabos MX CH'!$C$21:$K$27,5),(IF(J100="13",VLOOKUP(M100,'Características dos Cabos MX CH'!$C$15:$L$20,5),"")))))))</f>
        <v/>
      </c>
      <c r="S100" s="193" t="str">
        <f>IF(J100="Duplex",VLOOKUP(M100,'Características dos Cabos MX CH'!$C$12:$I$14,6),(IF(J100="Triplex",VLOOKUP(M100,'Características dos Cabos MX CH'!$C$15:$J$20,6),(IF(J100="Quadruplex",VLOOKUP(M100,'Características dos Cabos MX CH'!$C$21:$K$27,6),(IF(J100="13",VLOOKUP(M100,'Características dos Cabos MX CH'!$C$15:$L$20,6),"")))))))</f>
        <v/>
      </c>
      <c r="T100" s="194" t="str">
        <f t="shared" si="13"/>
        <v/>
      </c>
      <c r="U100" s="447" t="str">
        <f>IF(J100="Duplex",VLOOKUP(M100,'Características dos Cabos MX CH'!$C$12:$I$14,2),(IF(J100="Triplex",VLOOKUP(M100,'Características dos Cabos MX CH'!$C$15:$J$20,2),(IF(J100="Quadruplex",VLOOKUP(M100,'Características dos Cabos MX CH'!$C$21:$K$27,2),(IF(J100="13",VLOOKUP(M100,'Características dos Cabos MX CH'!$C$15:$L$20,2),"")))))))</f>
        <v/>
      </c>
      <c r="V100" s="193" t="str">
        <f>IF(J100="Duplex",VLOOKUP(M100,'Características dos Cabos MX CH'!$C$12:$I$14,3),(IF(J100="Triplex",VLOOKUP(M100,'Características dos Cabos MX CH'!$C$15:$J$20,3),(IF(J100="Quadruplex",VLOOKUP(M100,'Características dos Cabos MX CH'!$C$21:$K$27,3),(IF(J100="13",VLOOKUP(M100,'Características dos Cabos MX CH'!$C$15:$L$20,3),"")))))))</f>
        <v/>
      </c>
      <c r="W100" s="195" t="str">
        <f t="shared" si="18"/>
        <v/>
      </c>
      <c r="X100" s="195" t="str">
        <f t="shared" si="19"/>
        <v/>
      </c>
      <c r="Y100" s="196" t="str">
        <f t="shared" si="20"/>
        <v/>
      </c>
      <c r="AA100" s="396">
        <f t="shared" si="21"/>
        <v>0</v>
      </c>
      <c r="AB100" s="396">
        <f t="shared" si="26"/>
        <v>0</v>
      </c>
      <c r="AC100" s="395"/>
      <c r="AE100" s="357" t="str">
        <f t="shared" si="23"/>
        <v/>
      </c>
      <c r="AF100" s="426">
        <f t="shared" si="15"/>
        <v>0</v>
      </c>
      <c r="AO100" s="401"/>
      <c r="AP100" s="413">
        <v>510</v>
      </c>
      <c r="AQ100" s="413">
        <v>3.78</v>
      </c>
      <c r="AR100" s="403"/>
    </row>
    <row r="101" spans="1:44" ht="15" customHeight="1">
      <c r="A101" s="696"/>
      <c r="B101" s="698"/>
      <c r="C101" s="568"/>
      <c r="D101" s="567"/>
      <c r="E101" s="372"/>
      <c r="F101" s="189" t="str">
        <f t="shared" si="22"/>
        <v/>
      </c>
      <c r="G101" s="384"/>
      <c r="H101" s="190" t="str">
        <f>IF(AND(E101="",G101=""),"",SUM(F101:G105))</f>
        <v/>
      </c>
      <c r="I101" s="191"/>
      <c r="J101" s="222"/>
      <c r="K101" s="222"/>
      <c r="L101" s="197" t="str">
        <f>IF(J101="Duplex",VLOOKUP(M101,'Características dos Cabos MX CH'!$C$12:$I$14,7),(IF(J101="Triplex",VLOOKUP(M101,'Características dos Cabos MX CH'!$C$15:$J$20,8),(IF(J101="Quadruplex",VLOOKUP(M101,'Características dos Cabos MX CH'!$C$21:$K$27,9),(IF(J101="13",VLOOKUP(M101,'Características dos Cabos MX CH'!$C$15:$L$20,10),"")))))))</f>
        <v/>
      </c>
      <c r="M101" s="350" t="str">
        <f t="shared" si="24"/>
        <v/>
      </c>
      <c r="N101" s="377"/>
      <c r="O101" s="192" t="str">
        <f t="shared" si="17"/>
        <v/>
      </c>
      <c r="P101" s="192" t="str">
        <f>IF(O101="","",SUM($O$96:O101)+$Z$96)</f>
        <v/>
      </c>
      <c r="Q101" s="192" t="str">
        <f t="shared" si="25"/>
        <v/>
      </c>
      <c r="R101" s="193" t="str">
        <f>IF(J101="Duplex",VLOOKUP(M101,'Características dos Cabos MX CH'!$C$12:$I$14,5),(IF(J101="Triplex",VLOOKUP(M101,'Características dos Cabos MX CH'!$C$15:$J$20,5),(IF(J101="Quadruplex",VLOOKUP(M101,'Características dos Cabos MX CH'!$C$21:$K$27,5),(IF(J101="13",VLOOKUP(M101,'Características dos Cabos MX CH'!$C$15:$L$20,5),"")))))))</f>
        <v/>
      </c>
      <c r="S101" s="193" t="str">
        <f>IF(J101="Duplex",VLOOKUP(M101,'Características dos Cabos MX CH'!$C$12:$I$14,6),(IF(J101="Triplex",VLOOKUP(M101,'Características dos Cabos MX CH'!$C$15:$J$20,6),(IF(J101="Quadruplex",VLOOKUP(M101,'Características dos Cabos MX CH'!$C$21:$K$27,6),(IF(J101="13",VLOOKUP(M101,'Características dos Cabos MX CH'!$C$15:$L$20,6),"")))))))</f>
        <v/>
      </c>
      <c r="T101" s="194" t="str">
        <f t="shared" si="13"/>
        <v/>
      </c>
      <c r="U101" s="447" t="str">
        <f>IF(J101="Duplex",VLOOKUP(M101,'Características dos Cabos MX CH'!$C$12:$I$14,2),(IF(J101="Triplex",VLOOKUP(M101,'Características dos Cabos MX CH'!$C$15:$J$20,2),(IF(J101="Quadruplex",VLOOKUP(M101,'Características dos Cabos MX CH'!$C$21:$K$27,2),(IF(J101="13",VLOOKUP(M101,'Características dos Cabos MX CH'!$C$15:$L$20,2),"")))))))</f>
        <v/>
      </c>
      <c r="V101" s="193" t="str">
        <f>IF(J101="Duplex",VLOOKUP(M101,'Características dos Cabos MX CH'!$C$12:$I$14,3),(IF(J101="Triplex",VLOOKUP(M101,'Características dos Cabos MX CH'!$C$15:$J$20,3),(IF(J101="Quadruplex",VLOOKUP(M101,'Características dos Cabos MX CH'!$C$21:$K$27,3),(IF(J101="13",VLOOKUP(M101,'Características dos Cabos MX CH'!$C$15:$L$20,3),"")))))))</f>
        <v/>
      </c>
      <c r="W101" s="195" t="str">
        <f t="shared" si="18"/>
        <v/>
      </c>
      <c r="X101" s="195" t="str">
        <f t="shared" si="19"/>
        <v/>
      </c>
      <c r="Y101" s="196" t="str">
        <f t="shared" si="20"/>
        <v/>
      </c>
      <c r="AA101" s="396">
        <f t="shared" si="21"/>
        <v>0</v>
      </c>
      <c r="AB101" s="396">
        <f t="shared" si="26"/>
        <v>0</v>
      </c>
      <c r="AC101" s="395"/>
      <c r="AE101" s="357" t="str">
        <f t="shared" si="23"/>
        <v/>
      </c>
      <c r="AF101" s="426">
        <f t="shared" si="15"/>
        <v>0</v>
      </c>
      <c r="AO101" s="401"/>
      <c r="AP101" s="413">
        <v>520</v>
      </c>
      <c r="AQ101" s="413">
        <v>3.81</v>
      </c>
      <c r="AR101" s="403"/>
    </row>
    <row r="102" spans="1:44" ht="15" customHeight="1">
      <c r="A102" s="696"/>
      <c r="B102" s="698"/>
      <c r="C102" s="568"/>
      <c r="D102" s="567"/>
      <c r="E102" s="372"/>
      <c r="F102" s="189" t="str">
        <f t="shared" si="22"/>
        <v/>
      </c>
      <c r="G102" s="384"/>
      <c r="H102" s="190" t="str">
        <f>IF(AND(E102="",G102=""),"",SUM(F102:G105))</f>
        <v/>
      </c>
      <c r="I102" s="191"/>
      <c r="J102" s="222"/>
      <c r="K102" s="222"/>
      <c r="L102" s="197" t="str">
        <f>IF(J102="Duplex",VLOOKUP(M102,'Características dos Cabos MX CH'!$C$12:$I$14,7),(IF(J102="Triplex",VLOOKUP(M102,'Características dos Cabos MX CH'!$C$15:$J$20,8),(IF(J102="Quadruplex",VLOOKUP(M102,'Características dos Cabos MX CH'!$C$21:$K$27,9),(IF(J102="13",VLOOKUP(M102,'Características dos Cabos MX CH'!$C$15:$L$20,10),"")))))))</f>
        <v/>
      </c>
      <c r="M102" s="350" t="str">
        <f t="shared" si="24"/>
        <v/>
      </c>
      <c r="N102" s="377"/>
      <c r="O102" s="192" t="str">
        <f t="shared" si="17"/>
        <v/>
      </c>
      <c r="P102" s="192" t="str">
        <f>IF(O102="","",SUM($O$96:O102)+$Z$96)</f>
        <v/>
      </c>
      <c r="Q102" s="192" t="str">
        <f t="shared" si="25"/>
        <v/>
      </c>
      <c r="R102" s="193" t="str">
        <f>IF(J102="Duplex",VLOOKUP(M102,'Características dos Cabos MX CH'!$C$12:$I$14,5),(IF(J102="Triplex",VLOOKUP(M102,'Características dos Cabos MX CH'!$C$15:$J$20,5),(IF(J102="Quadruplex",VLOOKUP(M102,'Características dos Cabos MX CH'!$C$21:$K$27,5),(IF(J102="13",VLOOKUP(M102,'Características dos Cabos MX CH'!$C$15:$L$20,5),"")))))))</f>
        <v/>
      </c>
      <c r="S102" s="193" t="str">
        <f>IF(J102="Duplex",VLOOKUP(M102,'Características dos Cabos MX CH'!$C$12:$I$14,6),(IF(J102="Triplex",VLOOKUP(M102,'Características dos Cabos MX CH'!$C$15:$J$20,6),(IF(J102="Quadruplex",VLOOKUP(M102,'Características dos Cabos MX CH'!$C$21:$K$27,6),(IF(J102="13",VLOOKUP(M102,'Características dos Cabos MX CH'!$C$15:$L$20,6),"")))))))</f>
        <v/>
      </c>
      <c r="T102" s="194" t="str">
        <f t="shared" si="13"/>
        <v/>
      </c>
      <c r="U102" s="447" t="str">
        <f>IF(J102="Duplex",VLOOKUP(M102,'Características dos Cabos MX CH'!$C$12:$I$14,2),(IF(J102="Triplex",VLOOKUP(M102,'Características dos Cabos MX CH'!$C$15:$J$20,2),(IF(J102="Quadruplex",VLOOKUP(M102,'Características dos Cabos MX CH'!$C$21:$K$27,2),(IF(J102="13",VLOOKUP(M102,'Características dos Cabos MX CH'!$C$15:$L$20,2),"")))))))</f>
        <v/>
      </c>
      <c r="V102" s="193" t="str">
        <f>IF(J102="Duplex",VLOOKUP(M102,'Características dos Cabos MX CH'!$C$12:$I$14,3),(IF(J102="Triplex",VLOOKUP(M102,'Características dos Cabos MX CH'!$C$15:$J$20,3),(IF(J102="Quadruplex",VLOOKUP(M102,'Características dos Cabos MX CH'!$C$21:$K$27,3),(IF(J102="13",VLOOKUP(M102,'Características dos Cabos MX CH'!$C$15:$L$20,3),"")))))))</f>
        <v/>
      </c>
      <c r="W102" s="195" t="str">
        <f t="shared" si="18"/>
        <v/>
      </c>
      <c r="X102" s="195" t="str">
        <f t="shared" si="19"/>
        <v/>
      </c>
      <c r="Y102" s="196" t="str">
        <f t="shared" si="20"/>
        <v/>
      </c>
      <c r="AA102" s="396">
        <f t="shared" si="21"/>
        <v>0</v>
      </c>
      <c r="AB102" s="396">
        <f t="shared" si="26"/>
        <v>0</v>
      </c>
      <c r="AC102" s="395"/>
      <c r="AE102" s="357" t="str">
        <f t="shared" si="23"/>
        <v/>
      </c>
      <c r="AF102" s="426">
        <f t="shared" si="15"/>
        <v>0</v>
      </c>
      <c r="AO102" s="401"/>
      <c r="AP102" s="413">
        <v>530</v>
      </c>
      <c r="AQ102" s="413">
        <v>3.83</v>
      </c>
      <c r="AR102" s="403"/>
    </row>
    <row r="103" spans="1:44" ht="15" customHeight="1">
      <c r="A103" s="696"/>
      <c r="B103" s="698"/>
      <c r="C103" s="568"/>
      <c r="D103" s="368"/>
      <c r="E103" s="372"/>
      <c r="F103" s="189" t="str">
        <f t="shared" si="22"/>
        <v/>
      </c>
      <c r="G103" s="384"/>
      <c r="H103" s="190" t="str">
        <f>IF(AND(E103="",G103=""),"",SUM(F103:G105))</f>
        <v/>
      </c>
      <c r="I103" s="191"/>
      <c r="J103" s="222"/>
      <c r="K103" s="222"/>
      <c r="L103" s="197" t="str">
        <f>IF(J103="Duplex",VLOOKUP(M103,'Características dos Cabos MX CH'!$C$12:$I$14,7),(IF(J103="Triplex",VLOOKUP(M103,'Características dos Cabos MX CH'!$C$15:$J$20,8),(IF(J103="Quadruplex",VLOOKUP(M103,'Características dos Cabos MX CH'!$C$21:$K$27,9),(IF(J103="13",VLOOKUP(M103,'Características dos Cabos MX CH'!$C$15:$L$20,10),"")))))))</f>
        <v/>
      </c>
      <c r="M103" s="350" t="str">
        <f t="shared" si="24"/>
        <v/>
      </c>
      <c r="N103" s="377"/>
      <c r="O103" s="192" t="str">
        <f t="shared" si="17"/>
        <v/>
      </c>
      <c r="P103" s="192" t="str">
        <f>IF(O103="","",SUM($O$96:O103)+$Z$96)</f>
        <v/>
      </c>
      <c r="Q103" s="192" t="str">
        <f t="shared" si="25"/>
        <v/>
      </c>
      <c r="R103" s="193" t="str">
        <f>IF(J103="Duplex",VLOOKUP(M103,'Características dos Cabos MX CH'!$C$12:$I$14,5),(IF(J103="Triplex",VLOOKUP(M103,'Características dos Cabos MX CH'!$C$15:$J$20,5),(IF(J103="Quadruplex",VLOOKUP(M103,'Características dos Cabos MX CH'!$C$21:$K$27,5),(IF(J103="13",VLOOKUP(M103,'Características dos Cabos MX CH'!$C$15:$L$20,5),"")))))))</f>
        <v/>
      </c>
      <c r="S103" s="193" t="str">
        <f>IF(J103="Duplex",VLOOKUP(M103,'Características dos Cabos MX CH'!$C$12:$I$14,6),(IF(J103="Triplex",VLOOKUP(M103,'Características dos Cabos MX CH'!$C$15:$J$20,6),(IF(J103="Quadruplex",VLOOKUP(M103,'Características dos Cabos MX CH'!$C$21:$K$27,6),(IF(J103="13",VLOOKUP(M103,'Características dos Cabos MX CH'!$C$15:$L$20,6),"")))))))</f>
        <v/>
      </c>
      <c r="T103" s="194" t="str">
        <f t="shared" si="13"/>
        <v/>
      </c>
      <c r="U103" s="447" t="str">
        <f>IF(J103="Duplex",VLOOKUP(M103,'Características dos Cabos MX CH'!$C$12:$I$14,2),(IF(J103="Triplex",VLOOKUP(M103,'Características dos Cabos MX CH'!$C$15:$J$20,2),(IF(J103="Quadruplex",VLOOKUP(M103,'Características dos Cabos MX CH'!$C$21:$K$27,2),(IF(J103="13",VLOOKUP(M103,'Características dos Cabos MX CH'!$C$15:$L$20,2),"")))))))</f>
        <v/>
      </c>
      <c r="V103" s="193" t="str">
        <f>IF(J103="Duplex",VLOOKUP(M103,'Características dos Cabos MX CH'!$C$12:$I$14,3),(IF(J103="Triplex",VLOOKUP(M103,'Características dos Cabos MX CH'!$C$15:$J$20,3),(IF(J103="Quadruplex",VLOOKUP(M103,'Características dos Cabos MX CH'!$C$21:$K$27,3),(IF(J103="13",VLOOKUP(M103,'Características dos Cabos MX CH'!$C$15:$L$20,3),"")))))))</f>
        <v/>
      </c>
      <c r="W103" s="195" t="str">
        <f t="shared" si="18"/>
        <v/>
      </c>
      <c r="X103" s="195" t="str">
        <f t="shared" si="19"/>
        <v/>
      </c>
      <c r="Y103" s="196" t="str">
        <f t="shared" si="20"/>
        <v/>
      </c>
      <c r="AA103" s="396">
        <f t="shared" si="21"/>
        <v>0</v>
      </c>
      <c r="AB103" s="396">
        <f t="shared" si="26"/>
        <v>0</v>
      </c>
      <c r="AC103" s="395"/>
      <c r="AE103" s="357" t="str">
        <f t="shared" si="23"/>
        <v/>
      </c>
      <c r="AF103" s="426">
        <f t="shared" si="15"/>
        <v>0</v>
      </c>
      <c r="AO103" s="401"/>
      <c r="AP103" s="413">
        <v>540</v>
      </c>
      <c r="AQ103" s="413">
        <v>3.86</v>
      </c>
      <c r="AR103" s="403"/>
    </row>
    <row r="104" spans="1:44" ht="15" customHeight="1">
      <c r="A104" s="696"/>
      <c r="B104" s="698"/>
      <c r="C104" s="568"/>
      <c r="D104" s="368"/>
      <c r="E104" s="372"/>
      <c r="F104" s="189" t="str">
        <f t="shared" si="22"/>
        <v/>
      </c>
      <c r="G104" s="384"/>
      <c r="H104" s="190" t="str">
        <f>IF(AND(E104="",G104=""),"",SUM(F104:G105))</f>
        <v/>
      </c>
      <c r="I104" s="191"/>
      <c r="J104" s="222"/>
      <c r="K104" s="222"/>
      <c r="L104" s="197" t="str">
        <f>IF(J104="Duplex",VLOOKUP(M104,'Características dos Cabos MX CH'!$C$12:$I$14,7),(IF(J104="Triplex",VLOOKUP(M104,'Características dos Cabos MX CH'!$C$15:$J$20,8),(IF(J104="Quadruplex",VLOOKUP(M104,'Características dos Cabos MX CH'!$C$21:$K$27,9),(IF(J104="13",VLOOKUP(M104,'Características dos Cabos MX CH'!$C$15:$L$20,10),"")))))))</f>
        <v/>
      </c>
      <c r="M104" s="350" t="str">
        <f t="shared" si="24"/>
        <v/>
      </c>
      <c r="N104" s="377"/>
      <c r="O104" s="192" t="str">
        <f t="shared" si="17"/>
        <v/>
      </c>
      <c r="P104" s="192" t="str">
        <f>IF(O104="","",SUM($O$96:O104)+$Z$96)</f>
        <v/>
      </c>
      <c r="Q104" s="192" t="str">
        <f t="shared" si="25"/>
        <v/>
      </c>
      <c r="R104" s="193" t="str">
        <f>IF(J104="Duplex",VLOOKUP(M104,'Características dos Cabos MX CH'!$C$12:$I$14,5),(IF(J104="Triplex",VLOOKUP(M104,'Características dos Cabos MX CH'!$C$15:$J$20,5),(IF(J104="Quadruplex",VLOOKUP(M104,'Características dos Cabos MX CH'!$C$21:$K$27,5),(IF(J104="13",VLOOKUP(M104,'Características dos Cabos MX CH'!$C$15:$L$20,5),"")))))))</f>
        <v/>
      </c>
      <c r="S104" s="193" t="str">
        <f>IF(J104="Duplex",VLOOKUP(M104,'Características dos Cabos MX CH'!$C$12:$I$14,6),(IF(J104="Triplex",VLOOKUP(M104,'Características dos Cabos MX CH'!$C$15:$J$20,6),(IF(J104="Quadruplex",VLOOKUP(M104,'Características dos Cabos MX CH'!$C$21:$K$27,6),(IF(J104="13",VLOOKUP(M104,'Características dos Cabos MX CH'!$C$15:$L$20,6),"")))))))</f>
        <v/>
      </c>
      <c r="T104" s="194" t="str">
        <f t="shared" si="13"/>
        <v/>
      </c>
      <c r="U104" s="447" t="str">
        <f>IF(J104="Duplex",VLOOKUP(M104,'Características dos Cabos MX CH'!$C$12:$I$14,2),(IF(J104="Triplex",VLOOKUP(M104,'Características dos Cabos MX CH'!$C$15:$J$20,2),(IF(J104="Quadruplex",VLOOKUP(M104,'Características dos Cabos MX CH'!$C$21:$K$27,2),(IF(J104="13",VLOOKUP(M104,'Características dos Cabos MX CH'!$C$15:$L$20,2),"")))))))</f>
        <v/>
      </c>
      <c r="V104" s="193" t="str">
        <f>IF(J104="Duplex",VLOOKUP(M104,'Características dos Cabos MX CH'!$C$12:$I$14,3),(IF(J104="Triplex",VLOOKUP(M104,'Características dos Cabos MX CH'!$C$15:$J$20,3),(IF(J104="Quadruplex",VLOOKUP(M104,'Características dos Cabos MX CH'!$C$21:$K$27,3),(IF(J104="13",VLOOKUP(M104,'Características dos Cabos MX CH'!$C$15:$L$20,3),"")))))))</f>
        <v/>
      </c>
      <c r="W104" s="195" t="str">
        <f t="shared" si="18"/>
        <v/>
      </c>
      <c r="X104" s="195" t="str">
        <f t="shared" si="19"/>
        <v/>
      </c>
      <c r="Y104" s="196" t="str">
        <f t="shared" si="20"/>
        <v/>
      </c>
      <c r="AA104" s="396">
        <f t="shared" si="21"/>
        <v>0</v>
      </c>
      <c r="AB104" s="396">
        <f t="shared" si="26"/>
        <v>0</v>
      </c>
      <c r="AC104" s="395"/>
      <c r="AE104" s="357" t="str">
        <f t="shared" si="23"/>
        <v/>
      </c>
      <c r="AF104" s="426">
        <f t="shared" si="15"/>
        <v>0</v>
      </c>
      <c r="AO104" s="401"/>
      <c r="AP104" s="413">
        <v>550</v>
      </c>
      <c r="AQ104" s="413">
        <v>3.88</v>
      </c>
      <c r="AR104" s="403"/>
    </row>
    <row r="105" spans="1:44" ht="15" customHeight="1" thickBot="1">
      <c r="A105" s="696"/>
      <c r="B105" s="699"/>
      <c r="C105" s="568"/>
      <c r="D105" s="370"/>
      <c r="E105" s="369"/>
      <c r="F105" s="199" t="str">
        <f t="shared" si="22"/>
        <v/>
      </c>
      <c r="G105" s="385"/>
      <c r="H105" s="200" t="str">
        <f>IF(AND(E105="",G105=""),"",SUM(F105:G105))</f>
        <v/>
      </c>
      <c r="I105" s="201"/>
      <c r="J105" s="223"/>
      <c r="K105" s="223"/>
      <c r="L105" s="202" t="str">
        <f>IF(J105="Duplex",VLOOKUP(M105,'Características dos Cabos MX CH'!$C$12:$I$14,7),(IF(J105="Triplex",VLOOKUP(M105,'Características dos Cabos MX CH'!$C$15:$J$20,8),(IF(J105="Quadruplex",VLOOKUP(M105,'Características dos Cabos MX CH'!$C$21:$K$27,9),(IF(J105="13",VLOOKUP(M105,'Características dos Cabos MX CH'!$C$15:$L$20,10),"")))))))</f>
        <v/>
      </c>
      <c r="M105" s="353" t="str">
        <f t="shared" si="24"/>
        <v/>
      </c>
      <c r="N105" s="378"/>
      <c r="O105" s="203" t="str">
        <f t="shared" si="17"/>
        <v/>
      </c>
      <c r="P105" s="192" t="str">
        <f>IF(O105="","",SUM($O$96:O105)+$Z$96)</f>
        <v/>
      </c>
      <c r="Q105" s="203" t="str">
        <f t="shared" si="25"/>
        <v/>
      </c>
      <c r="R105" s="204" t="str">
        <f>IF(J105="Duplex",VLOOKUP(M105,'Características dos Cabos MX CH'!$C$12:$I$14,5),(IF(J105="Triplex",VLOOKUP(M105,'Características dos Cabos MX CH'!$C$15:$J$20,5),(IF(J105="Quadruplex",VLOOKUP(M105,'Características dos Cabos MX CH'!$C$21:$K$27,5),(IF(J105="13",VLOOKUP(M105,'Características dos Cabos MX CH'!$C$15:$L$20,5),"")))))))</f>
        <v/>
      </c>
      <c r="S105" s="204" t="str">
        <f>IF(J105="Duplex",VLOOKUP(M105,'Características dos Cabos MX CH'!$C$12:$I$14,6),(IF(J105="Triplex",VLOOKUP(M105,'Características dos Cabos MX CH'!$C$15:$J$20,6),(IF(J105="Quadruplex",VLOOKUP(M105,'Características dos Cabos MX CH'!$C$21:$K$27,6),(IF(J105="13",VLOOKUP(M105,'Características dos Cabos MX CH'!$C$15:$L$20,6),"")))))))</f>
        <v/>
      </c>
      <c r="T105" s="205" t="str">
        <f t="shared" si="13"/>
        <v/>
      </c>
      <c r="U105" s="448" t="str">
        <f>IF(J105="Duplex",VLOOKUP(M105,'Características dos Cabos MX CH'!$C$12:$I$14,2),(IF(J105="Triplex",VLOOKUP(M105,'Características dos Cabos MX CH'!$C$15:$J$20,2),(IF(J105="Quadruplex",VLOOKUP(M105,'Características dos Cabos MX CH'!$C$21:$K$27,2),(IF(J105="13",VLOOKUP(M105,'Características dos Cabos MX CH'!$C$15:$L$20,2),"")))))))</f>
        <v/>
      </c>
      <c r="V105" s="204" t="str">
        <f>IF(J105="Duplex",VLOOKUP(M105,'Características dos Cabos MX CH'!$C$12:$I$14,3),(IF(J105="Triplex",VLOOKUP(M105,'Características dos Cabos MX CH'!$C$15:$J$20,3),(IF(J105="Quadruplex",VLOOKUP(M105,'Características dos Cabos MX CH'!$C$21:$K$27,3),(IF(J105="13",VLOOKUP(M105,'Características dos Cabos MX CH'!$C$15:$L$20,3),"")))))))</f>
        <v/>
      </c>
      <c r="W105" s="206" t="str">
        <f t="shared" si="18"/>
        <v/>
      </c>
      <c r="X105" s="206" t="str">
        <f t="shared" si="19"/>
        <v/>
      </c>
      <c r="Y105" s="207" t="str">
        <f t="shared" si="20"/>
        <v/>
      </c>
      <c r="AA105" s="396">
        <f t="shared" si="21"/>
        <v>0</v>
      </c>
      <c r="AB105" s="396">
        <f t="shared" si="26"/>
        <v>0</v>
      </c>
      <c r="AC105" s="395"/>
      <c r="AE105" s="357" t="str">
        <f t="shared" si="23"/>
        <v/>
      </c>
      <c r="AF105" s="426">
        <f t="shared" si="15"/>
        <v>0</v>
      </c>
      <c r="AO105" s="401"/>
      <c r="AP105" s="413">
        <v>560</v>
      </c>
      <c r="AQ105" s="413">
        <v>3.90</v>
      </c>
      <c r="AR105" s="403"/>
    </row>
    <row r="106" spans="1:44" ht="15" customHeight="1" thickTop="1">
      <c r="A106" s="696"/>
      <c r="B106" s="700" t="str">
        <f>CONCATENATE("Ramal 7 - Derivando no ponto ",C106)</f>
        <v xml:space="preserve">Ramal 7 - Derivando no ponto </v>
      </c>
      <c r="C106" s="572"/>
      <c r="D106" s="573"/>
      <c r="E106" s="374"/>
      <c r="F106" s="208" t="str">
        <f t="shared" si="22"/>
        <v/>
      </c>
      <c r="G106" s="386"/>
      <c r="H106" s="209" t="str">
        <f>IF(AND(E106="",G106=""),"",SUM(F106:G115))</f>
        <v/>
      </c>
      <c r="I106" s="210"/>
      <c r="J106" s="224"/>
      <c r="K106" s="224"/>
      <c r="L106" s="211" t="str">
        <f>IF(J106="Duplex",VLOOKUP(M106,'Características dos Cabos MX CH'!$C$12:$I$14,7),(IF(J106="Triplex",VLOOKUP(M106,'Características dos Cabos MX CH'!$C$15:$J$20,8),(IF(J106="Quadruplex",VLOOKUP(M106,'Características dos Cabos MX CH'!$C$21:$K$27,9),(IF(J106="13",VLOOKUP(M106,'Características dos Cabos MX CH'!$C$15:$L$20,10),"")))))))</f>
        <v/>
      </c>
      <c r="M106" s="354" t="str">
        <f t="shared" si="24"/>
        <v/>
      </c>
      <c r="N106" s="379"/>
      <c r="O106" s="212" t="str">
        <f t="shared" si="17"/>
        <v/>
      </c>
      <c r="P106" s="217" t="str">
        <f>IF(O106="","",O106+VLOOKUP(C106,$D$20:$Q$105,13,FALSE))</f>
        <v/>
      </c>
      <c r="Q106" s="212" t="str">
        <f t="shared" si="25"/>
        <v/>
      </c>
      <c r="R106" s="213" t="str">
        <f>IF(J106="Duplex",VLOOKUP(M106,'Características dos Cabos MX CH'!$C$12:$I$14,5),(IF(J106="Triplex",VLOOKUP(M106,'Características dos Cabos MX CH'!$C$15:$J$20,5),(IF(J106="Quadruplex",VLOOKUP(M106,'Características dos Cabos MX CH'!$C$21:$K$27,5),(IF(J106="13",VLOOKUP(M106,'Características dos Cabos MX CH'!$C$15:$L$20,5),"")))))))</f>
        <v/>
      </c>
      <c r="S106" s="213" t="str">
        <f>IF(J106="Duplex",VLOOKUP(M106,'Características dos Cabos MX CH'!$C$12:$I$14,6),(IF(J106="Triplex",VLOOKUP(M106,'Características dos Cabos MX CH'!$C$15:$J$20,6),(IF(J106="Quadruplex",VLOOKUP(M106,'Características dos Cabos MX CH'!$C$21:$K$27,6),(IF(J106="13",VLOOKUP(M106,'Características dos Cabos MX CH'!$C$15:$L$20,6),"")))))))</f>
        <v/>
      </c>
      <c r="T106" s="214" t="str">
        <f t="shared" si="13"/>
        <v/>
      </c>
      <c r="U106" s="450" t="str">
        <f>IF(J106="Duplex",VLOOKUP(M106,'Características dos Cabos MX CH'!$C$12:$I$14,2),(IF(J106="Triplex",VLOOKUP(M106,'Características dos Cabos MX CH'!$C$15:$J$20,2),(IF(J106="Quadruplex",VLOOKUP(M106,'Características dos Cabos MX CH'!$C$21:$K$27,2),(IF(J106="13",VLOOKUP(M106,'Características dos Cabos MX CH'!$C$15:$L$20,2),"")))))))</f>
        <v/>
      </c>
      <c r="V106" s="213" t="str">
        <f>IF(J106="Duplex",VLOOKUP(M106,'Características dos Cabos MX CH'!$C$12:$I$14,3),(IF(J106="Triplex",VLOOKUP(M106,'Características dos Cabos MX CH'!$C$15:$J$20,3),(IF(J106="Quadruplex",VLOOKUP(M106,'Características dos Cabos MX CH'!$C$21:$K$27,3),(IF(J106="13",VLOOKUP(M106,'Características dos Cabos MX CH'!$C$15:$L$20,3),"")))))))</f>
        <v/>
      </c>
      <c r="W106" s="215" t="str">
        <f t="shared" si="18"/>
        <v/>
      </c>
      <c r="X106" s="215" t="str">
        <f t="shared" si="19"/>
        <v/>
      </c>
      <c r="Y106" s="216" t="str">
        <f t="shared" si="20"/>
        <v/>
      </c>
      <c r="Z106" s="393" t="str">
        <f>IF(O106="","",VLOOKUP(C106,$D$20:$P$105,13,FALSE))</f>
        <v/>
      </c>
      <c r="AA106" s="396">
        <f t="shared" si="21"/>
        <v>0</v>
      </c>
      <c r="AB106" s="396">
        <f t="shared" si="26"/>
        <v>0</v>
      </c>
      <c r="AC106" s="395"/>
      <c r="AE106" s="357" t="str">
        <f t="shared" si="23"/>
        <v/>
      </c>
      <c r="AF106" s="426">
        <f t="shared" si="15"/>
        <v>0</v>
      </c>
      <c r="AO106" s="401"/>
      <c r="AP106" s="413">
        <v>570</v>
      </c>
      <c r="AQ106" s="413">
        <v>3.93</v>
      </c>
      <c r="AR106" s="403"/>
    </row>
    <row r="107" spans="1:44" ht="15" customHeight="1">
      <c r="A107" s="696"/>
      <c r="B107" s="698"/>
      <c r="C107" s="562"/>
      <c r="D107" s="567"/>
      <c r="E107" s="372"/>
      <c r="F107" s="189" t="str">
        <f t="shared" si="22"/>
        <v/>
      </c>
      <c r="G107" s="384"/>
      <c r="H107" s="190" t="str">
        <f>IF(AND(E107="",G107=""),"",SUM(F107:G115))</f>
        <v/>
      </c>
      <c r="I107" s="191"/>
      <c r="J107" s="222"/>
      <c r="K107" s="222"/>
      <c r="L107" s="197" t="str">
        <f>IF(J107="Duplex",VLOOKUP(M107,'Características dos Cabos MX CH'!$C$12:$I$14,7),(IF(J107="Triplex",VLOOKUP(M107,'Características dos Cabos MX CH'!$C$15:$J$20,8),(IF(J107="Quadruplex",VLOOKUP(M107,'Características dos Cabos MX CH'!$C$21:$K$27,9),(IF(J107="13",VLOOKUP(M107,'Características dos Cabos MX CH'!$C$15:$L$20,10),"")))))))</f>
        <v/>
      </c>
      <c r="M107" s="350" t="str">
        <f t="shared" si="24"/>
        <v/>
      </c>
      <c r="N107" s="377"/>
      <c r="O107" s="192" t="str">
        <f t="shared" si="17"/>
        <v/>
      </c>
      <c r="P107" s="192" t="str">
        <f>IF(O107="","",SUM($O$106:O107)+$Z$106)</f>
        <v/>
      </c>
      <c r="Q107" s="192" t="str">
        <f t="shared" si="25"/>
        <v/>
      </c>
      <c r="R107" s="193" t="str">
        <f>IF(J107="Duplex",VLOOKUP(M107,'Características dos Cabos MX CH'!$C$12:$I$14,5),(IF(J107="Triplex",VLOOKUP(M107,'Características dos Cabos MX CH'!$C$15:$J$20,5),(IF(J107="Quadruplex",VLOOKUP(M107,'Características dos Cabos MX CH'!$C$21:$K$27,5),(IF(J107="13",VLOOKUP(M107,'Características dos Cabos MX CH'!$C$15:$L$20,5),"")))))))</f>
        <v/>
      </c>
      <c r="S107" s="193" t="str">
        <f>IF(J107="Duplex",VLOOKUP(M107,'Características dos Cabos MX CH'!$C$12:$I$14,6),(IF(J107="Triplex",VLOOKUP(M107,'Características dos Cabos MX CH'!$C$15:$J$20,6),(IF(J107="Quadruplex",VLOOKUP(M107,'Características dos Cabos MX CH'!$C$21:$K$27,6),(IF(J107="13",VLOOKUP(M107,'Características dos Cabos MX CH'!$C$15:$L$20,6),"")))))))</f>
        <v/>
      </c>
      <c r="T107" s="194" t="str">
        <f t="shared" si="13"/>
        <v/>
      </c>
      <c r="U107" s="447" t="str">
        <f>IF(J107="Duplex",VLOOKUP(M107,'Características dos Cabos MX CH'!$C$12:$I$14,2),(IF(J107="Triplex",VLOOKUP(M107,'Características dos Cabos MX CH'!$C$15:$J$20,2),(IF(J107="Quadruplex",VLOOKUP(M107,'Características dos Cabos MX CH'!$C$21:$K$27,2),(IF(J107="13",VLOOKUP(M107,'Características dos Cabos MX CH'!$C$15:$L$20,2),"")))))))</f>
        <v/>
      </c>
      <c r="V107" s="193" t="str">
        <f>IF(J107="Duplex",VLOOKUP(M107,'Características dos Cabos MX CH'!$C$12:$I$14,3),(IF(J107="Triplex",VLOOKUP(M107,'Características dos Cabos MX CH'!$C$15:$J$20,3),(IF(J107="Quadruplex",VLOOKUP(M107,'Características dos Cabos MX CH'!$C$21:$K$27,3),(IF(J107="13",VLOOKUP(M107,'Características dos Cabos MX CH'!$C$15:$L$20,3),"")))))))</f>
        <v/>
      </c>
      <c r="W107" s="195" t="str">
        <f t="shared" si="18"/>
        <v/>
      </c>
      <c r="X107" s="195" t="str">
        <f t="shared" si="19"/>
        <v/>
      </c>
      <c r="Y107" s="196" t="str">
        <f t="shared" si="20"/>
        <v/>
      </c>
      <c r="AA107" s="396">
        <f t="shared" si="21"/>
        <v>0</v>
      </c>
      <c r="AB107" s="396">
        <f t="shared" si="26"/>
        <v>0</v>
      </c>
      <c r="AC107" s="395"/>
      <c r="AE107" s="357" t="str">
        <f t="shared" si="23"/>
        <v/>
      </c>
      <c r="AF107" s="426">
        <f t="shared" si="15"/>
        <v>0</v>
      </c>
      <c r="AO107" s="401"/>
      <c r="AP107" s="413">
        <v>580</v>
      </c>
      <c r="AQ107" s="413">
        <v>3.95</v>
      </c>
      <c r="AR107" s="403"/>
    </row>
    <row r="108" spans="1:44" ht="15" customHeight="1">
      <c r="A108" s="696"/>
      <c r="B108" s="698"/>
      <c r="C108" s="568"/>
      <c r="D108" s="567"/>
      <c r="E108" s="372"/>
      <c r="F108" s="189" t="str">
        <f t="shared" si="22"/>
        <v/>
      </c>
      <c r="G108" s="384"/>
      <c r="H108" s="190" t="str">
        <f>IF(AND(E108="",G108=""),"",SUM(F108:G115))</f>
        <v/>
      </c>
      <c r="I108" s="191"/>
      <c r="J108" s="222"/>
      <c r="K108" s="222"/>
      <c r="L108" s="197" t="str">
        <f>IF(J108="Duplex",VLOOKUP(M108,'Características dos Cabos MX CH'!$C$12:$I$14,7),(IF(J108="Triplex",VLOOKUP(M108,'Características dos Cabos MX CH'!$C$15:$J$20,8),(IF(J108="Quadruplex",VLOOKUP(M108,'Características dos Cabos MX CH'!$C$21:$K$27,9),(IF(J108="13",VLOOKUP(M108,'Características dos Cabos MX CH'!$C$15:$L$20,10),"")))))))</f>
        <v/>
      </c>
      <c r="M108" s="350" t="str">
        <f t="shared" si="24"/>
        <v/>
      </c>
      <c r="N108" s="377"/>
      <c r="O108" s="192" t="str">
        <f t="shared" si="17"/>
        <v/>
      </c>
      <c r="P108" s="192" t="str">
        <f>IF(O108="","",SUM($O$106:O108)+$Z$106)</f>
        <v/>
      </c>
      <c r="Q108" s="192" t="str">
        <f t="shared" si="25"/>
        <v/>
      </c>
      <c r="R108" s="193" t="str">
        <f>IF(J108="Duplex",VLOOKUP(M108,'Características dos Cabos MX CH'!$C$12:$I$14,5),(IF(J108="Triplex",VLOOKUP(M108,'Características dos Cabos MX CH'!$C$15:$J$20,5),(IF(J108="Quadruplex",VLOOKUP(M108,'Características dos Cabos MX CH'!$C$21:$K$27,5),(IF(J108="13",VLOOKUP(M108,'Características dos Cabos MX CH'!$C$15:$L$20,5),"")))))))</f>
        <v/>
      </c>
      <c r="S108" s="193" t="str">
        <f>IF(J108="Duplex",VLOOKUP(M108,'Características dos Cabos MX CH'!$C$12:$I$14,6),(IF(J108="Triplex",VLOOKUP(M108,'Características dos Cabos MX CH'!$C$15:$J$20,6),(IF(J108="Quadruplex",VLOOKUP(M108,'Características dos Cabos MX CH'!$C$21:$K$27,6),(IF(J108="13",VLOOKUP(M108,'Características dos Cabos MX CH'!$C$15:$L$20,6),"")))))))</f>
        <v/>
      </c>
      <c r="T108" s="194" t="str">
        <f t="shared" si="13"/>
        <v/>
      </c>
      <c r="U108" s="447" t="str">
        <f>IF(J108="Duplex",VLOOKUP(M108,'Características dos Cabos MX CH'!$C$12:$I$14,2),(IF(J108="Triplex",VLOOKUP(M108,'Características dos Cabos MX CH'!$C$15:$J$20,2),(IF(J108="Quadruplex",VLOOKUP(M108,'Características dos Cabos MX CH'!$C$21:$K$27,2),(IF(J108="13",VLOOKUP(M108,'Características dos Cabos MX CH'!$C$15:$L$20,2),"")))))))</f>
        <v/>
      </c>
      <c r="V108" s="193" t="str">
        <f>IF(J108="Duplex",VLOOKUP(M108,'Características dos Cabos MX CH'!$C$12:$I$14,3),(IF(J108="Triplex",VLOOKUP(M108,'Características dos Cabos MX CH'!$C$15:$J$20,3),(IF(J108="Quadruplex",VLOOKUP(M108,'Características dos Cabos MX CH'!$C$21:$K$27,3),(IF(J108="13",VLOOKUP(M108,'Características dos Cabos MX CH'!$C$15:$L$20,3),"")))))))</f>
        <v/>
      </c>
      <c r="W108" s="195" t="str">
        <f t="shared" si="18"/>
        <v/>
      </c>
      <c r="X108" s="195" t="str">
        <f t="shared" si="19"/>
        <v/>
      </c>
      <c r="Y108" s="196" t="str">
        <f t="shared" si="20"/>
        <v/>
      </c>
      <c r="AA108" s="396">
        <f t="shared" si="21"/>
        <v>0</v>
      </c>
      <c r="AB108" s="396">
        <f t="shared" si="26"/>
        <v>0</v>
      </c>
      <c r="AC108" s="395"/>
      <c r="AE108" s="357" t="str">
        <f t="shared" si="23"/>
        <v/>
      </c>
      <c r="AF108" s="426">
        <f t="shared" si="15"/>
        <v>0</v>
      </c>
      <c r="AO108" s="401"/>
      <c r="AP108" s="413">
        <v>590</v>
      </c>
      <c r="AQ108" s="413">
        <v>3.98</v>
      </c>
      <c r="AR108" s="403"/>
    </row>
    <row r="109" spans="1:44" ht="15" customHeight="1">
      <c r="A109" s="696"/>
      <c r="B109" s="698"/>
      <c r="C109" s="568"/>
      <c r="D109" s="567"/>
      <c r="E109" s="372"/>
      <c r="F109" s="189" t="str">
        <f t="shared" si="22"/>
        <v/>
      </c>
      <c r="G109" s="384"/>
      <c r="H109" s="190" t="str">
        <f>IF(AND(E109="",G109=""),"",SUM(F109:G115))</f>
        <v/>
      </c>
      <c r="I109" s="191"/>
      <c r="J109" s="222"/>
      <c r="K109" s="222"/>
      <c r="L109" s="197" t="str">
        <f>IF(J109="Duplex",VLOOKUP(M109,'Características dos Cabos MX CH'!$C$12:$I$14,7),(IF(J109="Triplex",VLOOKUP(M109,'Características dos Cabos MX CH'!$C$15:$J$20,8),(IF(J109="Quadruplex",VLOOKUP(M109,'Características dos Cabos MX CH'!$C$21:$K$27,9),(IF(J109="13",VLOOKUP(M109,'Características dos Cabos MX CH'!$C$15:$L$20,10),"")))))))</f>
        <v/>
      </c>
      <c r="M109" s="350" t="str">
        <f t="shared" si="24"/>
        <v/>
      </c>
      <c r="N109" s="377"/>
      <c r="O109" s="192" t="str">
        <f t="shared" si="17"/>
        <v/>
      </c>
      <c r="P109" s="192" t="str">
        <f>IF(O109="","",SUM($O$106:O109)+$Z$106)</f>
        <v/>
      </c>
      <c r="Q109" s="192" t="str">
        <f t="shared" si="25"/>
        <v/>
      </c>
      <c r="R109" s="193" t="str">
        <f>IF(J109="Duplex",VLOOKUP(M109,'Características dos Cabos MX CH'!$C$12:$I$14,5),(IF(J109="Triplex",VLOOKUP(M109,'Características dos Cabos MX CH'!$C$15:$J$20,5),(IF(J109="Quadruplex",VLOOKUP(M109,'Características dos Cabos MX CH'!$C$21:$K$27,5),(IF(J109="13",VLOOKUP(M109,'Características dos Cabos MX CH'!$C$15:$L$20,5),"")))))))</f>
        <v/>
      </c>
      <c r="S109" s="193" t="str">
        <f>IF(J109="Duplex",VLOOKUP(M109,'Características dos Cabos MX CH'!$C$12:$I$14,6),(IF(J109="Triplex",VLOOKUP(M109,'Características dos Cabos MX CH'!$C$15:$J$20,6),(IF(J109="Quadruplex",VLOOKUP(M109,'Características dos Cabos MX CH'!$C$21:$K$27,6),(IF(J109="13",VLOOKUP(M109,'Características dos Cabos MX CH'!$C$15:$L$20,6),"")))))))</f>
        <v/>
      </c>
      <c r="T109" s="194" t="str">
        <f t="shared" si="27" ref="T109:T172">IF(OR(Q109="",R109="",S109=""),"",IF(OR($L$11="PE",$L$11="pe"),Q109/R109,IF(OR($L$11="XLPE",$L$11="xlpe"),Q109/S109,"")))</f>
        <v/>
      </c>
      <c r="U109" s="447" t="str">
        <f>IF(J109="Duplex",VLOOKUP(M109,'Características dos Cabos MX CH'!$C$12:$I$14,2),(IF(J109="Triplex",VLOOKUP(M109,'Características dos Cabos MX CH'!$C$15:$J$20,2),(IF(J109="Quadruplex",VLOOKUP(M109,'Características dos Cabos MX CH'!$C$21:$K$27,2),(IF(J109="13",VLOOKUP(M109,'Características dos Cabos MX CH'!$C$15:$L$20,2),"")))))))</f>
        <v/>
      </c>
      <c r="V109" s="193" t="str">
        <f>IF(J109="Duplex",VLOOKUP(M109,'Características dos Cabos MX CH'!$C$12:$I$14,3),(IF(J109="Triplex",VLOOKUP(M109,'Características dos Cabos MX CH'!$C$15:$J$20,3),(IF(J109="Quadruplex",VLOOKUP(M109,'Características dos Cabos MX CH'!$C$21:$K$27,3),(IF(J109="13",VLOOKUP(M109,'Características dos Cabos MX CH'!$C$15:$L$20,3),"")))))))</f>
        <v/>
      </c>
      <c r="W109" s="195" t="str">
        <f t="shared" si="18"/>
        <v/>
      </c>
      <c r="X109" s="195" t="str">
        <f t="shared" si="19"/>
        <v/>
      </c>
      <c r="Y109" s="196" t="str">
        <f t="shared" si="20"/>
        <v/>
      </c>
      <c r="AA109" s="396">
        <f t="shared" si="21"/>
        <v>0</v>
      </c>
      <c r="AB109" s="396">
        <f t="shared" si="26"/>
        <v>0</v>
      </c>
      <c r="AC109" s="395"/>
      <c r="AE109" s="357" t="str">
        <f t="shared" si="23"/>
        <v/>
      </c>
      <c r="AF109" s="426">
        <f t="shared" si="28" ref="AF109:AF172">G109</f>
        <v>0</v>
      </c>
      <c r="AO109" s="401"/>
      <c r="AP109" s="413">
        <v>601</v>
      </c>
      <c r="AQ109" s="413">
        <v>4</v>
      </c>
      <c r="AR109" s="403"/>
    </row>
    <row r="110" spans="1:44" ht="15" customHeight="1">
      <c r="A110" s="696"/>
      <c r="B110" s="698"/>
      <c r="C110" s="568"/>
      <c r="D110" s="567"/>
      <c r="E110" s="372"/>
      <c r="F110" s="189" t="str">
        <f t="shared" si="22"/>
        <v/>
      </c>
      <c r="G110" s="384"/>
      <c r="H110" s="190" t="str">
        <f>IF(AND(E110="",G110=""),"",SUM(F110:G115))</f>
        <v/>
      </c>
      <c r="I110" s="191"/>
      <c r="J110" s="222"/>
      <c r="K110" s="222"/>
      <c r="L110" s="197" t="str">
        <f>IF(J110="Duplex",VLOOKUP(M110,'Características dos Cabos MX CH'!$C$12:$I$14,7),(IF(J110="Triplex",VLOOKUP(M110,'Características dos Cabos MX CH'!$C$15:$J$20,8),(IF(J110="Quadruplex",VLOOKUP(M110,'Características dos Cabos MX CH'!$C$21:$K$27,9),(IF(J110="13",VLOOKUP(M110,'Características dos Cabos MX CH'!$C$15:$L$20,10),"")))))))</f>
        <v/>
      </c>
      <c r="M110" s="350" t="str">
        <f t="shared" si="24"/>
        <v/>
      </c>
      <c r="N110" s="377"/>
      <c r="O110" s="192" t="str">
        <f t="shared" si="29" ref="O110:O173">IF(OR(N110="",L110="",H110=""),"",N110*L110*H110)</f>
        <v/>
      </c>
      <c r="P110" s="192" t="str">
        <f>IF(O110="","",SUM($O$106:O110)+$Z$106)</f>
        <v/>
      </c>
      <c r="Q110" s="192" t="str">
        <f t="shared" si="25"/>
        <v/>
      </c>
      <c r="R110" s="193" t="str">
        <f>IF(J110="Duplex",VLOOKUP(M110,'Características dos Cabos MX CH'!$C$12:$I$14,5),(IF(J110="Triplex",VLOOKUP(M110,'Características dos Cabos MX CH'!$C$15:$J$20,5),(IF(J110="Quadruplex",VLOOKUP(M110,'Características dos Cabos MX CH'!$C$21:$K$27,5),(IF(J110="13",VLOOKUP(M110,'Características dos Cabos MX CH'!$C$15:$L$20,5),"")))))))</f>
        <v/>
      </c>
      <c r="S110" s="193" t="str">
        <f>IF(J110="Duplex",VLOOKUP(M110,'Características dos Cabos MX CH'!$C$12:$I$14,6),(IF(J110="Triplex",VLOOKUP(M110,'Características dos Cabos MX CH'!$C$15:$J$20,6),(IF(J110="Quadruplex",VLOOKUP(M110,'Características dos Cabos MX CH'!$C$21:$K$27,6),(IF(J110="13",VLOOKUP(M110,'Características dos Cabos MX CH'!$C$15:$L$20,6),"")))))))</f>
        <v/>
      </c>
      <c r="T110" s="194" t="str">
        <f t="shared" si="27"/>
        <v/>
      </c>
      <c r="U110" s="447" t="str">
        <f>IF(J110="Duplex",VLOOKUP(M110,'Características dos Cabos MX CH'!$C$12:$I$14,2),(IF(J110="Triplex",VLOOKUP(M110,'Características dos Cabos MX CH'!$C$15:$J$20,2),(IF(J110="Quadruplex",VLOOKUP(M110,'Características dos Cabos MX CH'!$C$21:$K$27,2),(IF(J110="13",VLOOKUP(M110,'Características dos Cabos MX CH'!$C$15:$L$20,2),"")))))))</f>
        <v/>
      </c>
      <c r="V110" s="193" t="str">
        <f>IF(J110="Duplex",VLOOKUP(M110,'Características dos Cabos MX CH'!$C$12:$I$14,3),(IF(J110="Triplex",VLOOKUP(M110,'Características dos Cabos MX CH'!$C$15:$J$20,3),(IF(J110="Quadruplex",VLOOKUP(M110,'Características dos Cabos MX CH'!$C$21:$K$27,3),(IF(J110="13",VLOOKUP(M110,'Características dos Cabos MX CH'!$C$15:$L$20,3),"")))))))</f>
        <v/>
      </c>
      <c r="W110" s="195" t="str">
        <f t="shared" si="30" ref="W110:W173">IF(OR(O110="",$G$15="",H110="",N110=""),"",IF(J110="Quadruplex",3*$L$13*U110*O110/1000*R110^2*8.76,IF(J110="Triplex",2*$L$13*U110*O110/1000*R110^2*8.76,IF(J110="Duplex",$L$13*U110*O110/1000*R110^2*8.76))))</f>
        <v/>
      </c>
      <c r="X110" s="195" t="str">
        <f t="shared" si="31" ref="X110:X173">IF(OR(O110="",$G$15="",H110="",N110=""),"",IF(J110="Quadruplex",3*$L$13*V110*O110/1000*R110^2*8.76,IF(J110="triplex",2*$L$13*V110*O110/1000*R110^2*8.76,IF(J110="Duplex",$L$13*V110*O110/1000*R110^2*8.76))))</f>
        <v/>
      </c>
      <c r="Y110" s="196" t="str">
        <f t="shared" si="32" ref="Y110:Y173">IF(OR(V110="",W110="",X110=""),"",IF($L$11="PE",W110,IF($L$11="XLPE",X110,"")))</f>
        <v/>
      </c>
      <c r="AA110" s="396">
        <f t="shared" si="21"/>
        <v>0</v>
      </c>
      <c r="AB110" s="396">
        <f t="shared" si="26"/>
        <v>0</v>
      </c>
      <c r="AC110" s="395"/>
      <c r="AE110" s="357" t="str">
        <f t="shared" si="23"/>
        <v/>
      </c>
      <c r="AF110" s="426">
        <f t="shared" si="28"/>
        <v>0</v>
      </c>
      <c r="AO110" s="401"/>
      <c r="AP110" s="413">
        <v>1200</v>
      </c>
      <c r="AQ110" s="413">
        <v>7</v>
      </c>
      <c r="AR110" s="403"/>
    </row>
    <row r="111" spans="1:44" ht="15" customHeight="1">
      <c r="A111" s="696"/>
      <c r="B111" s="698"/>
      <c r="C111" s="568"/>
      <c r="D111" s="567"/>
      <c r="E111" s="372"/>
      <c r="F111" s="189" t="str">
        <f t="shared" si="22"/>
        <v/>
      </c>
      <c r="G111" s="384"/>
      <c r="H111" s="190" t="str">
        <f>IF(AND(E111="",G111=""),"",SUM(F111:G115))</f>
        <v/>
      </c>
      <c r="I111" s="191"/>
      <c r="J111" s="222"/>
      <c r="K111" s="222"/>
      <c r="L111" s="197" t="str">
        <f>IF(J111="Duplex",VLOOKUP(M111,'Características dos Cabos MX CH'!$C$12:$I$14,7),(IF(J111="Triplex",VLOOKUP(M111,'Características dos Cabos MX CH'!$C$15:$J$20,8),(IF(J111="Quadruplex",VLOOKUP(M111,'Características dos Cabos MX CH'!$C$21:$K$27,9),(IF(J111="13",VLOOKUP(M111,'Características dos Cabos MX CH'!$C$15:$L$20,10),"")))))))</f>
        <v/>
      </c>
      <c r="M111" s="350" t="str">
        <f t="shared" si="24"/>
        <v/>
      </c>
      <c r="N111" s="377"/>
      <c r="O111" s="192" t="str">
        <f t="shared" si="29"/>
        <v/>
      </c>
      <c r="P111" s="192" t="str">
        <f>IF(O111="","",SUM($O$106:O111)+$Z$106)</f>
        <v/>
      </c>
      <c r="Q111" s="192" t="str">
        <f t="shared" si="25"/>
        <v/>
      </c>
      <c r="R111" s="193" t="str">
        <f>IF(J111="Duplex",VLOOKUP(M111,'Características dos Cabos MX CH'!$C$12:$I$14,5),(IF(J111="Triplex",VLOOKUP(M111,'Características dos Cabos MX CH'!$C$15:$J$20,5),(IF(J111="Quadruplex",VLOOKUP(M111,'Características dos Cabos MX CH'!$C$21:$K$27,5),(IF(J111="13",VLOOKUP(M111,'Características dos Cabos MX CH'!$C$15:$L$20,5),"")))))))</f>
        <v/>
      </c>
      <c r="S111" s="193" t="str">
        <f>IF(J111="Duplex",VLOOKUP(M111,'Características dos Cabos MX CH'!$C$12:$I$14,6),(IF(J111="Triplex",VLOOKUP(M111,'Características dos Cabos MX CH'!$C$15:$J$20,6),(IF(J111="Quadruplex",VLOOKUP(M111,'Características dos Cabos MX CH'!$C$21:$K$27,6),(IF(J111="13",VLOOKUP(M111,'Características dos Cabos MX CH'!$C$15:$L$20,6),"")))))))</f>
        <v/>
      </c>
      <c r="T111" s="194" t="str">
        <f t="shared" si="27"/>
        <v/>
      </c>
      <c r="U111" s="447" t="str">
        <f>IF(J111="Duplex",VLOOKUP(M111,'Características dos Cabos MX CH'!$C$12:$I$14,2),(IF(J111="Triplex",VLOOKUP(M111,'Características dos Cabos MX CH'!$C$15:$J$20,2),(IF(J111="Quadruplex",VLOOKUP(M111,'Características dos Cabos MX CH'!$C$21:$K$27,2),(IF(J111="13",VLOOKUP(M111,'Características dos Cabos MX CH'!$C$15:$L$20,2),"")))))))</f>
        <v/>
      </c>
      <c r="V111" s="193" t="str">
        <f>IF(J111="Duplex",VLOOKUP(M111,'Características dos Cabos MX CH'!$C$12:$I$14,3),(IF(J111="Triplex",VLOOKUP(M111,'Características dos Cabos MX CH'!$C$15:$J$20,3),(IF(J111="Quadruplex",VLOOKUP(M111,'Características dos Cabos MX CH'!$C$21:$K$27,3),(IF(J111="13",VLOOKUP(M111,'Características dos Cabos MX CH'!$C$15:$L$20,3),"")))))))</f>
        <v/>
      </c>
      <c r="W111" s="195" t="str">
        <f t="shared" si="30"/>
        <v/>
      </c>
      <c r="X111" s="195" t="str">
        <f t="shared" si="31"/>
        <v/>
      </c>
      <c r="Y111" s="196" t="str">
        <f t="shared" si="32"/>
        <v/>
      </c>
      <c r="AA111" s="396">
        <f t="shared" si="21"/>
        <v>0</v>
      </c>
      <c r="AB111" s="396">
        <f t="shared" si="26"/>
        <v>0</v>
      </c>
      <c r="AC111" s="395"/>
      <c r="AE111" s="357" t="str">
        <f t="shared" si="23"/>
        <v/>
      </c>
      <c r="AF111" s="426">
        <f t="shared" si="28"/>
        <v>0</v>
      </c>
      <c r="AO111" s="401"/>
      <c r="AP111" s="413">
        <v>2000</v>
      </c>
      <c r="AQ111" s="413">
        <v>10</v>
      </c>
      <c r="AR111" s="403"/>
    </row>
    <row r="112" spans="1:44" ht="15" customHeight="1">
      <c r="A112" s="696"/>
      <c r="B112" s="698"/>
      <c r="C112" s="568"/>
      <c r="D112" s="567"/>
      <c r="E112" s="372"/>
      <c r="F112" s="189" t="str">
        <f t="shared" si="22"/>
        <v/>
      </c>
      <c r="G112" s="384"/>
      <c r="H112" s="190" t="str">
        <f>IF(AND(E112="",G112=""),"",SUM(F112:G115))</f>
        <v/>
      </c>
      <c r="I112" s="191"/>
      <c r="J112" s="222"/>
      <c r="K112" s="222"/>
      <c r="L112" s="197" t="str">
        <f>IF(J112="Duplex",VLOOKUP(M112,'Características dos Cabos MX CH'!$C$12:$I$14,7),(IF(J112="Triplex",VLOOKUP(M112,'Características dos Cabos MX CH'!$C$15:$J$20,8),(IF(J112="Quadruplex",VLOOKUP(M112,'Características dos Cabos MX CH'!$C$21:$K$27,9),(IF(J112="13",VLOOKUP(M112,'Características dos Cabos MX CH'!$C$15:$L$20,10),"")))))))</f>
        <v/>
      </c>
      <c r="M112" s="350" t="str">
        <f t="shared" si="24"/>
        <v/>
      </c>
      <c r="N112" s="377"/>
      <c r="O112" s="192" t="str">
        <f t="shared" si="29"/>
        <v/>
      </c>
      <c r="P112" s="192" t="str">
        <f>IF(O112="","",SUM($O$106:O112)+$Z$106)</f>
        <v/>
      </c>
      <c r="Q112" s="192" t="str">
        <f t="shared" si="25"/>
        <v/>
      </c>
      <c r="R112" s="193" t="str">
        <f>IF(J112="Duplex",VLOOKUP(M112,'Características dos Cabos MX CH'!$C$12:$I$14,5),(IF(J112="Triplex",VLOOKUP(M112,'Características dos Cabos MX CH'!$C$15:$J$20,5),(IF(J112="Quadruplex",VLOOKUP(M112,'Características dos Cabos MX CH'!$C$21:$K$27,5),(IF(J112="13",VLOOKUP(M112,'Características dos Cabos MX CH'!$C$15:$L$20,5),"")))))))</f>
        <v/>
      </c>
      <c r="S112" s="193" t="str">
        <f>IF(J112="Duplex",VLOOKUP(M112,'Características dos Cabos MX CH'!$C$12:$I$14,6),(IF(J112="Triplex",VLOOKUP(M112,'Características dos Cabos MX CH'!$C$15:$J$20,6),(IF(J112="Quadruplex",VLOOKUP(M112,'Características dos Cabos MX CH'!$C$21:$K$27,6),(IF(J112="13",VLOOKUP(M112,'Características dos Cabos MX CH'!$C$15:$L$20,6),"")))))))</f>
        <v/>
      </c>
      <c r="T112" s="194" t="str">
        <f t="shared" si="27"/>
        <v/>
      </c>
      <c r="U112" s="447" t="str">
        <f>IF(J112="Duplex",VLOOKUP(M112,'Características dos Cabos MX CH'!$C$12:$I$14,2),(IF(J112="Triplex",VLOOKUP(M112,'Características dos Cabos MX CH'!$C$15:$J$20,2),(IF(J112="Quadruplex",VLOOKUP(M112,'Características dos Cabos MX CH'!$C$21:$K$27,2),(IF(J112="13",VLOOKUP(M112,'Características dos Cabos MX CH'!$C$15:$L$20,2),"")))))))</f>
        <v/>
      </c>
      <c r="V112" s="193" t="str">
        <f>IF(J112="Duplex",VLOOKUP(M112,'Características dos Cabos MX CH'!$C$12:$I$14,3),(IF(J112="Triplex",VLOOKUP(M112,'Características dos Cabos MX CH'!$C$15:$J$20,3),(IF(J112="Quadruplex",VLOOKUP(M112,'Características dos Cabos MX CH'!$C$21:$K$27,3),(IF(J112="13",VLOOKUP(M112,'Características dos Cabos MX CH'!$C$15:$L$20,3),"")))))))</f>
        <v/>
      </c>
      <c r="W112" s="195" t="str">
        <f t="shared" si="30"/>
        <v/>
      </c>
      <c r="X112" s="195" t="str">
        <f t="shared" si="31"/>
        <v/>
      </c>
      <c r="Y112" s="196" t="str">
        <f t="shared" si="32"/>
        <v/>
      </c>
      <c r="AA112" s="396">
        <f t="shared" si="21"/>
        <v>0</v>
      </c>
      <c r="AB112" s="396">
        <f t="shared" si="26"/>
        <v>0</v>
      </c>
      <c r="AC112" s="395"/>
      <c r="AE112" s="357" t="str">
        <f t="shared" si="23"/>
        <v/>
      </c>
      <c r="AF112" s="426">
        <f t="shared" si="28"/>
        <v>0</v>
      </c>
      <c r="AO112" s="408"/>
      <c r="AP112" s="409"/>
      <c r="AQ112" s="409"/>
      <c r="AR112" s="410"/>
    </row>
    <row r="113" spans="1:32" ht="15" customHeight="1">
      <c r="A113" s="696"/>
      <c r="B113" s="698"/>
      <c r="C113" s="568"/>
      <c r="D113" s="368"/>
      <c r="E113" s="372"/>
      <c r="F113" s="189" t="str">
        <f t="shared" si="22"/>
        <v/>
      </c>
      <c r="G113" s="384"/>
      <c r="H113" s="190" t="str">
        <f>IF(AND(E113="",G113=""),"",SUM(F113:G115))</f>
        <v/>
      </c>
      <c r="I113" s="191"/>
      <c r="J113" s="222"/>
      <c r="K113" s="222"/>
      <c r="L113" s="197" t="str">
        <f>IF(J113="Duplex",VLOOKUP(M113,'Características dos Cabos MX CH'!$C$12:$I$14,7),(IF(J113="Triplex",VLOOKUP(M113,'Características dos Cabos MX CH'!$C$15:$J$20,8),(IF(J113="Quadruplex",VLOOKUP(M113,'Características dos Cabos MX CH'!$C$21:$K$27,9),(IF(J113="13",VLOOKUP(M113,'Características dos Cabos MX CH'!$C$15:$L$20,10),"")))))))</f>
        <v/>
      </c>
      <c r="M113" s="350" t="str">
        <f t="shared" si="24"/>
        <v/>
      </c>
      <c r="N113" s="377"/>
      <c r="O113" s="192" t="str">
        <f t="shared" si="29"/>
        <v/>
      </c>
      <c r="P113" s="192" t="str">
        <f>IF(O113="","",SUM($O$106:O113)+$Z$106)</f>
        <v/>
      </c>
      <c r="Q113" s="192" t="str">
        <f t="shared" si="25"/>
        <v/>
      </c>
      <c r="R113" s="193" t="str">
        <f>IF(J113="Duplex",VLOOKUP(M113,'Características dos Cabos MX CH'!$C$12:$I$14,5),(IF(J113="Triplex",VLOOKUP(M113,'Características dos Cabos MX CH'!$C$15:$J$20,5),(IF(J113="Quadruplex",VLOOKUP(M113,'Características dos Cabos MX CH'!$C$21:$K$27,5),(IF(J113="13",VLOOKUP(M113,'Características dos Cabos MX CH'!$C$15:$L$20,5),"")))))))</f>
        <v/>
      </c>
      <c r="S113" s="193" t="str">
        <f>IF(J113="Duplex",VLOOKUP(M113,'Características dos Cabos MX CH'!$C$12:$I$14,6),(IF(J113="Triplex",VLOOKUP(M113,'Características dos Cabos MX CH'!$C$15:$J$20,6),(IF(J113="Quadruplex",VLOOKUP(M113,'Características dos Cabos MX CH'!$C$21:$K$27,6),(IF(J113="13",VLOOKUP(M113,'Características dos Cabos MX CH'!$C$15:$L$20,6),"")))))))</f>
        <v/>
      </c>
      <c r="T113" s="194" t="str">
        <f t="shared" si="27"/>
        <v/>
      </c>
      <c r="U113" s="447" t="str">
        <f>IF(J113="Duplex",VLOOKUP(M113,'Características dos Cabos MX CH'!$C$12:$I$14,2),(IF(J113="Triplex",VLOOKUP(M113,'Características dos Cabos MX CH'!$C$15:$J$20,2),(IF(J113="Quadruplex",VLOOKUP(M113,'Características dos Cabos MX CH'!$C$21:$K$27,2),(IF(J113="13",VLOOKUP(M113,'Características dos Cabos MX CH'!$C$15:$L$20,2),"")))))))</f>
        <v/>
      </c>
      <c r="V113" s="193" t="str">
        <f>IF(J113="Duplex",VLOOKUP(M113,'Características dos Cabos MX CH'!$C$12:$I$14,3),(IF(J113="Triplex",VLOOKUP(M113,'Características dos Cabos MX CH'!$C$15:$J$20,3),(IF(J113="Quadruplex",VLOOKUP(M113,'Características dos Cabos MX CH'!$C$21:$K$27,3),(IF(J113="13",VLOOKUP(M113,'Características dos Cabos MX CH'!$C$15:$L$20,3),"")))))))</f>
        <v/>
      </c>
      <c r="W113" s="195" t="str">
        <f t="shared" si="30"/>
        <v/>
      </c>
      <c r="X113" s="195" t="str">
        <f t="shared" si="31"/>
        <v/>
      </c>
      <c r="Y113" s="196" t="str">
        <f t="shared" si="32"/>
        <v/>
      </c>
      <c r="AA113" s="396">
        <f t="shared" si="21"/>
        <v>0</v>
      </c>
      <c r="AB113" s="396">
        <f t="shared" si="26"/>
        <v>0</v>
      </c>
      <c r="AC113" s="395"/>
      <c r="AE113" s="357" t="str">
        <f t="shared" si="23"/>
        <v/>
      </c>
      <c r="AF113" s="426">
        <f t="shared" si="28"/>
        <v>0</v>
      </c>
    </row>
    <row r="114" spans="1:32" ht="15" customHeight="1">
      <c r="A114" s="696"/>
      <c r="B114" s="698"/>
      <c r="C114" s="568"/>
      <c r="D114" s="368"/>
      <c r="E114" s="372"/>
      <c r="F114" s="189" t="str">
        <f t="shared" si="22"/>
        <v/>
      </c>
      <c r="G114" s="384"/>
      <c r="H114" s="190" t="str">
        <f>IF(AND(E114="",G114=""),"",SUM(F114:G115))</f>
        <v/>
      </c>
      <c r="I114" s="191"/>
      <c r="J114" s="222"/>
      <c r="K114" s="222"/>
      <c r="L114" s="197" t="str">
        <f>IF(J114="Duplex",VLOOKUP(M114,'Características dos Cabos MX CH'!$C$12:$I$14,7),(IF(J114="Triplex",VLOOKUP(M114,'Características dos Cabos MX CH'!$C$15:$J$20,8),(IF(J114="Quadruplex",VLOOKUP(M114,'Características dos Cabos MX CH'!$C$21:$K$27,9),(IF(J114="13",VLOOKUP(M114,'Características dos Cabos MX CH'!$C$15:$L$20,10),"")))))))</f>
        <v/>
      </c>
      <c r="M114" s="350" t="str">
        <f t="shared" si="24"/>
        <v/>
      </c>
      <c r="N114" s="377"/>
      <c r="O114" s="192" t="str">
        <f t="shared" si="29"/>
        <v/>
      </c>
      <c r="P114" s="192" t="str">
        <f>IF(O114="","",SUM($O$106:O114)+$Z$106)</f>
        <v/>
      </c>
      <c r="Q114" s="192" t="str">
        <f t="shared" si="25"/>
        <v/>
      </c>
      <c r="R114" s="193" t="str">
        <f>IF(J114="Duplex",VLOOKUP(M114,'Características dos Cabos MX CH'!$C$12:$I$14,5),(IF(J114="Triplex",VLOOKUP(M114,'Características dos Cabos MX CH'!$C$15:$J$20,5),(IF(J114="Quadruplex",VLOOKUP(M114,'Características dos Cabos MX CH'!$C$21:$K$27,5),(IF(J114="13",VLOOKUP(M114,'Características dos Cabos MX CH'!$C$15:$L$20,5),"")))))))</f>
        <v/>
      </c>
      <c r="S114" s="193" t="str">
        <f>IF(J114="Duplex",VLOOKUP(M114,'Características dos Cabos MX CH'!$C$12:$I$14,6),(IF(J114="Triplex",VLOOKUP(M114,'Características dos Cabos MX CH'!$C$15:$J$20,6),(IF(J114="Quadruplex",VLOOKUP(M114,'Características dos Cabos MX CH'!$C$21:$K$27,6),(IF(J114="13",VLOOKUP(M114,'Características dos Cabos MX CH'!$C$15:$L$20,6),"")))))))</f>
        <v/>
      </c>
      <c r="T114" s="194" t="str">
        <f t="shared" si="27"/>
        <v/>
      </c>
      <c r="U114" s="447" t="str">
        <f>IF(J114="Duplex",VLOOKUP(M114,'Características dos Cabos MX CH'!$C$12:$I$14,2),(IF(J114="Triplex",VLOOKUP(M114,'Características dos Cabos MX CH'!$C$15:$J$20,2),(IF(J114="Quadruplex",VLOOKUP(M114,'Características dos Cabos MX CH'!$C$21:$K$27,2),(IF(J114="13",VLOOKUP(M114,'Características dos Cabos MX CH'!$C$15:$L$20,2),"")))))))</f>
        <v/>
      </c>
      <c r="V114" s="193" t="str">
        <f>IF(J114="Duplex",VLOOKUP(M114,'Características dos Cabos MX CH'!$C$12:$I$14,3),(IF(J114="Triplex",VLOOKUP(M114,'Características dos Cabos MX CH'!$C$15:$J$20,3),(IF(J114="Quadruplex",VLOOKUP(M114,'Características dos Cabos MX CH'!$C$21:$K$27,3),(IF(J114="13",VLOOKUP(M114,'Características dos Cabos MX CH'!$C$15:$L$20,3),"")))))))</f>
        <v/>
      </c>
      <c r="W114" s="195" t="str">
        <f t="shared" si="30"/>
        <v/>
      </c>
      <c r="X114" s="195" t="str">
        <f t="shared" si="31"/>
        <v/>
      </c>
      <c r="Y114" s="196" t="str">
        <f t="shared" si="32"/>
        <v/>
      </c>
      <c r="AA114" s="396">
        <f t="shared" si="33" ref="AA114:AA177">D114</f>
        <v>0</v>
      </c>
      <c r="AB114" s="396">
        <f t="shared" si="26"/>
        <v>0</v>
      </c>
      <c r="AC114" s="395"/>
      <c r="AE114" s="357" t="str">
        <f t="shared" si="23"/>
        <v/>
      </c>
      <c r="AF114" s="426">
        <f t="shared" si="28"/>
        <v>0</v>
      </c>
    </row>
    <row r="115" spans="1:32" ht="15" customHeight="1" thickBot="1">
      <c r="A115" s="696"/>
      <c r="B115" s="699"/>
      <c r="C115" s="568"/>
      <c r="D115" s="370"/>
      <c r="E115" s="369"/>
      <c r="F115" s="199" t="str">
        <f t="shared" si="22"/>
        <v/>
      </c>
      <c r="G115" s="385"/>
      <c r="H115" s="200" t="str">
        <f>IF(AND(E115="",G115=""),"",SUM(F115:G115))</f>
        <v/>
      </c>
      <c r="I115" s="201"/>
      <c r="J115" s="223"/>
      <c r="K115" s="223"/>
      <c r="L115" s="202" t="str">
        <f>IF(J115="Duplex",VLOOKUP(M115,'Características dos Cabos MX CH'!$C$12:$I$14,7),(IF(J115="Triplex",VLOOKUP(M115,'Características dos Cabos MX CH'!$C$15:$J$20,8),(IF(J115="Quadruplex",VLOOKUP(M115,'Características dos Cabos MX CH'!$C$21:$K$27,9),(IF(J115="13",VLOOKUP(M115,'Características dos Cabos MX CH'!$C$15:$L$20,10),"")))))))</f>
        <v/>
      </c>
      <c r="M115" s="353" t="str">
        <f t="shared" si="24"/>
        <v/>
      </c>
      <c r="N115" s="378"/>
      <c r="O115" s="203" t="str">
        <f t="shared" si="29"/>
        <v/>
      </c>
      <c r="P115" s="192" t="str">
        <f>IF(O115="","",SUM($O$106:O115)+$Z$106)</f>
        <v/>
      </c>
      <c r="Q115" s="203" t="str">
        <f t="shared" si="25"/>
        <v/>
      </c>
      <c r="R115" s="204" t="str">
        <f>IF(J115="Duplex",VLOOKUP(M115,'Características dos Cabos MX CH'!$C$12:$I$14,5),(IF(J115="Triplex",VLOOKUP(M115,'Características dos Cabos MX CH'!$C$15:$J$20,5),(IF(J115="Quadruplex",VLOOKUP(M115,'Características dos Cabos MX CH'!$C$21:$K$27,5),(IF(J115="13",VLOOKUP(M115,'Características dos Cabos MX CH'!$C$15:$L$20,5),"")))))))</f>
        <v/>
      </c>
      <c r="S115" s="204" t="str">
        <f>IF(J115="Duplex",VLOOKUP(M115,'Características dos Cabos MX CH'!$C$12:$I$14,6),(IF(J115="Triplex",VLOOKUP(M115,'Características dos Cabos MX CH'!$C$15:$J$20,6),(IF(J115="Quadruplex",VLOOKUP(M115,'Características dos Cabos MX CH'!$C$21:$K$27,6),(IF(J115="13",VLOOKUP(M115,'Características dos Cabos MX CH'!$C$15:$L$20,6),"")))))))</f>
        <v/>
      </c>
      <c r="T115" s="205" t="str">
        <f t="shared" si="27"/>
        <v/>
      </c>
      <c r="U115" s="448" t="str">
        <f>IF(J115="Duplex",VLOOKUP(M115,'Características dos Cabos MX CH'!$C$12:$I$14,2),(IF(J115="Triplex",VLOOKUP(M115,'Características dos Cabos MX CH'!$C$15:$J$20,2),(IF(J115="Quadruplex",VLOOKUP(M115,'Características dos Cabos MX CH'!$C$21:$K$27,2),(IF(J115="13",VLOOKUP(M115,'Características dos Cabos MX CH'!$C$15:$L$20,2),"")))))))</f>
        <v/>
      </c>
      <c r="V115" s="204" t="str">
        <f>IF(J115="Duplex",VLOOKUP(M115,'Características dos Cabos MX CH'!$C$12:$I$14,3),(IF(J115="Triplex",VLOOKUP(M115,'Características dos Cabos MX CH'!$C$15:$J$20,3),(IF(J115="Quadruplex",VLOOKUP(M115,'Características dos Cabos MX CH'!$C$21:$K$27,3),(IF(J115="13",VLOOKUP(M115,'Características dos Cabos MX CH'!$C$15:$L$20,3),"")))))))</f>
        <v/>
      </c>
      <c r="W115" s="206" t="str">
        <f t="shared" si="30"/>
        <v/>
      </c>
      <c r="X115" s="206" t="str">
        <f t="shared" si="31"/>
        <v/>
      </c>
      <c r="Y115" s="207" t="str">
        <f t="shared" si="32"/>
        <v/>
      </c>
      <c r="AA115" s="396">
        <f t="shared" si="33"/>
        <v>0</v>
      </c>
      <c r="AB115" s="396">
        <f t="shared" si="26"/>
        <v>0</v>
      </c>
      <c r="AC115" s="395"/>
      <c r="AE115" s="357" t="str">
        <f t="shared" si="23"/>
        <v/>
      </c>
      <c r="AF115" s="426">
        <f t="shared" si="28"/>
        <v>0</v>
      </c>
    </row>
    <row r="116" spans="1:32" ht="15" customHeight="1" thickTop="1">
      <c r="A116" s="696"/>
      <c r="B116" s="700" t="str">
        <f>CONCATENATE("Ramal 8 - Derivando no ponto ",C116)</f>
        <v xml:space="preserve">Ramal 8 - Derivando no ponto </v>
      </c>
      <c r="C116" s="572"/>
      <c r="D116" s="573"/>
      <c r="E116" s="374"/>
      <c r="F116" s="208" t="str">
        <f t="shared" si="22"/>
        <v/>
      </c>
      <c r="G116" s="386"/>
      <c r="H116" s="209" t="str">
        <f>IF(AND(E116="",G116=""),"",SUM(F116:G125))</f>
        <v/>
      </c>
      <c r="I116" s="210"/>
      <c r="J116" s="224"/>
      <c r="K116" s="224"/>
      <c r="L116" s="211" t="str">
        <f>IF(J116="Duplex",VLOOKUP(M116,'Características dos Cabos MX CH'!$C$12:$I$14,7),(IF(J116="Triplex",VLOOKUP(M116,'Características dos Cabos MX CH'!$C$15:$J$20,8),(IF(J116="Quadruplex",VLOOKUP(M116,'Características dos Cabos MX CH'!$C$21:$K$27,9),(IF(J116="13",VLOOKUP(M116,'Características dos Cabos MX CH'!$C$15:$L$20,10),"")))))))</f>
        <v/>
      </c>
      <c r="M116" s="354" t="str">
        <f t="shared" si="24"/>
        <v/>
      </c>
      <c r="N116" s="379"/>
      <c r="O116" s="212" t="str">
        <f t="shared" si="29"/>
        <v/>
      </c>
      <c r="P116" s="217" t="str">
        <f>IF(O116="","",O116+VLOOKUP(C116,$D$20:$Q$115,13,FALSE))</f>
        <v/>
      </c>
      <c r="Q116" s="212" t="str">
        <f t="shared" si="25"/>
        <v/>
      </c>
      <c r="R116" s="213" t="str">
        <f>IF(J116="Duplex",VLOOKUP(M116,'Características dos Cabos MX CH'!$C$12:$I$14,5),(IF(J116="Triplex",VLOOKUP(M116,'Características dos Cabos MX CH'!$C$15:$J$20,5),(IF(J116="Quadruplex",VLOOKUP(M116,'Características dos Cabos MX CH'!$C$21:$K$27,5),(IF(J116="13",VLOOKUP(M116,'Características dos Cabos MX CH'!$C$15:$L$20,5),"")))))))</f>
        <v/>
      </c>
      <c r="S116" s="213" t="str">
        <f>IF(J116="Duplex",VLOOKUP(M116,'Características dos Cabos MX CH'!$C$12:$I$14,6),(IF(J116="Triplex",VLOOKUP(M116,'Características dos Cabos MX CH'!$C$15:$J$20,6),(IF(J116="Quadruplex",VLOOKUP(M116,'Características dos Cabos MX CH'!$C$21:$K$27,6),(IF(J116="13",VLOOKUP(M116,'Características dos Cabos MX CH'!$C$15:$L$20,6),"")))))))</f>
        <v/>
      </c>
      <c r="T116" s="214" t="str">
        <f t="shared" si="27"/>
        <v/>
      </c>
      <c r="U116" s="450" t="str">
        <f>IF(J116="Duplex",VLOOKUP(M116,'Características dos Cabos MX CH'!$C$12:$I$14,2),(IF(J116="Triplex",VLOOKUP(M116,'Características dos Cabos MX CH'!$C$15:$J$20,2),(IF(J116="Quadruplex",VLOOKUP(M116,'Características dos Cabos MX CH'!$C$21:$K$27,2),(IF(J116="13",VLOOKUP(M116,'Características dos Cabos MX CH'!$C$15:$L$20,2),"")))))))</f>
        <v/>
      </c>
      <c r="V116" s="213" t="str">
        <f>IF(J116="Duplex",VLOOKUP(M116,'Características dos Cabos MX CH'!$C$12:$I$14,3),(IF(J116="Triplex",VLOOKUP(M116,'Características dos Cabos MX CH'!$C$15:$J$20,3),(IF(J116="Quadruplex",VLOOKUP(M116,'Características dos Cabos MX CH'!$C$21:$K$27,3),(IF(J116="13",VLOOKUP(M116,'Características dos Cabos MX CH'!$C$15:$L$20,3),"")))))))</f>
        <v/>
      </c>
      <c r="W116" s="215" t="str">
        <f t="shared" si="30"/>
        <v/>
      </c>
      <c r="X116" s="215" t="str">
        <f t="shared" si="31"/>
        <v/>
      </c>
      <c r="Y116" s="216" t="str">
        <f t="shared" si="32"/>
        <v/>
      </c>
      <c r="Z116" s="393" t="str">
        <f>IF(O116="","",VLOOKUP(C116,$D$20:$P$115,13,FALSE))</f>
        <v/>
      </c>
      <c r="AA116" s="396">
        <f t="shared" si="33"/>
        <v>0</v>
      </c>
      <c r="AB116" s="396">
        <f t="shared" si="26"/>
        <v>0</v>
      </c>
      <c r="AC116" s="395"/>
      <c r="AE116" s="357" t="str">
        <f t="shared" si="23"/>
        <v/>
      </c>
      <c r="AF116" s="426">
        <f t="shared" si="28"/>
        <v>0</v>
      </c>
    </row>
    <row r="117" spans="1:32" ht="15" customHeight="1">
      <c r="A117" s="696"/>
      <c r="B117" s="698"/>
      <c r="C117" s="562"/>
      <c r="D117" s="567"/>
      <c r="E117" s="372"/>
      <c r="F117" s="189" t="str">
        <f t="shared" si="34" ref="F117:F180">IF(OR(E117="",$G$11=""),"",E117*$G$11*($J$11/100+1)^($J$15-1))</f>
        <v/>
      </c>
      <c r="G117" s="384"/>
      <c r="H117" s="190" t="str">
        <f>IF(AND(E117="",G117=""),"",SUM(F117:G125))</f>
        <v/>
      </c>
      <c r="I117" s="191"/>
      <c r="J117" s="222"/>
      <c r="K117" s="222"/>
      <c r="L117" s="197" t="str">
        <f>IF(J117="Duplex",VLOOKUP(M117,'Características dos Cabos MX CH'!$C$12:$I$14,7),(IF(J117="Triplex",VLOOKUP(M117,'Características dos Cabos MX CH'!$C$15:$J$20,8),(IF(J117="Quadruplex",VLOOKUP(M117,'Características dos Cabos MX CH'!$C$21:$K$27,9),(IF(J117="13",VLOOKUP(M117,'Características dos Cabos MX CH'!$C$15:$L$20,10),"")))))))</f>
        <v/>
      </c>
      <c r="M117" s="350" t="str">
        <f t="shared" si="24"/>
        <v/>
      </c>
      <c r="N117" s="377"/>
      <c r="O117" s="192" t="str">
        <f t="shared" si="29"/>
        <v/>
      </c>
      <c r="P117" s="192" t="str">
        <f>IF(O117="","",SUM($O$116:O117)+$Z$116)</f>
        <v/>
      </c>
      <c r="Q117" s="192" t="str">
        <f t="shared" si="25"/>
        <v/>
      </c>
      <c r="R117" s="193" t="str">
        <f>IF(J117="Duplex",VLOOKUP(M117,'Características dos Cabos MX CH'!$C$12:$I$14,5),(IF(J117="Triplex",VLOOKUP(M117,'Características dos Cabos MX CH'!$C$15:$J$20,5),(IF(J117="Quadruplex",VLOOKUP(M117,'Características dos Cabos MX CH'!$C$21:$K$27,5),(IF(J117="13",VLOOKUP(M117,'Características dos Cabos MX CH'!$C$15:$L$20,5),"")))))))</f>
        <v/>
      </c>
      <c r="S117" s="193" t="str">
        <f>IF(J117="Duplex",VLOOKUP(M117,'Características dos Cabos MX CH'!$C$12:$I$14,6),(IF(J117="Triplex",VLOOKUP(M117,'Características dos Cabos MX CH'!$C$15:$J$20,6),(IF(J117="Quadruplex",VLOOKUP(M117,'Características dos Cabos MX CH'!$C$21:$K$27,6),(IF(J117="13",VLOOKUP(M117,'Características dos Cabos MX CH'!$C$15:$L$20,6),"")))))))</f>
        <v/>
      </c>
      <c r="T117" s="194" t="str">
        <f t="shared" si="27"/>
        <v/>
      </c>
      <c r="U117" s="447" t="str">
        <f>IF(J117="Duplex",VLOOKUP(M117,'Características dos Cabos MX CH'!$C$12:$I$14,2),(IF(J117="Triplex",VLOOKUP(M117,'Características dos Cabos MX CH'!$C$15:$J$20,2),(IF(J117="Quadruplex",VLOOKUP(M117,'Características dos Cabos MX CH'!$C$21:$K$27,2),(IF(J117="13",VLOOKUP(M117,'Características dos Cabos MX CH'!$C$15:$L$20,2),"")))))))</f>
        <v/>
      </c>
      <c r="V117" s="193" t="str">
        <f>IF(J117="Duplex",VLOOKUP(M117,'Características dos Cabos MX CH'!$C$12:$I$14,3),(IF(J117="Triplex",VLOOKUP(M117,'Características dos Cabos MX CH'!$C$15:$J$20,3),(IF(J117="Quadruplex",VLOOKUP(M117,'Características dos Cabos MX CH'!$C$21:$K$27,3),(IF(J117="13",VLOOKUP(M117,'Características dos Cabos MX CH'!$C$15:$L$20,3),"")))))))</f>
        <v/>
      </c>
      <c r="W117" s="195" t="str">
        <f t="shared" si="30"/>
        <v/>
      </c>
      <c r="X117" s="195" t="str">
        <f t="shared" si="31"/>
        <v/>
      </c>
      <c r="Y117" s="196" t="str">
        <f t="shared" si="32"/>
        <v/>
      </c>
      <c r="AA117" s="396">
        <f t="shared" si="33"/>
        <v>0</v>
      </c>
      <c r="AB117" s="396">
        <f t="shared" si="26"/>
        <v>0</v>
      </c>
      <c r="AC117" s="395"/>
      <c r="AE117" s="357" t="str">
        <f t="shared" si="23"/>
        <v/>
      </c>
      <c r="AF117" s="426">
        <f t="shared" si="28"/>
        <v>0</v>
      </c>
    </row>
    <row r="118" spans="1:32" ht="15" customHeight="1">
      <c r="A118" s="696"/>
      <c r="B118" s="698"/>
      <c r="C118" s="568"/>
      <c r="D118" s="567"/>
      <c r="E118" s="372"/>
      <c r="F118" s="189" t="str">
        <f t="shared" si="34"/>
        <v/>
      </c>
      <c r="G118" s="384"/>
      <c r="H118" s="190" t="str">
        <f>IF(AND(E118="",G118=""),"",SUM(F118:G125))</f>
        <v/>
      </c>
      <c r="I118" s="191"/>
      <c r="J118" s="222"/>
      <c r="K118" s="222"/>
      <c r="L118" s="197" t="str">
        <f>IF(J118="Duplex",VLOOKUP(M118,'Características dos Cabos MX CH'!$C$12:$I$14,7),(IF(J118="Triplex",VLOOKUP(M118,'Características dos Cabos MX CH'!$C$15:$J$20,8),(IF(J118="Quadruplex",VLOOKUP(M118,'Características dos Cabos MX CH'!$C$21:$K$27,9),(IF(J118="13",VLOOKUP(M118,'Características dos Cabos MX CH'!$C$15:$L$20,10),"")))))))</f>
        <v/>
      </c>
      <c r="M118" s="350" t="str">
        <f t="shared" si="24"/>
        <v/>
      </c>
      <c r="N118" s="377"/>
      <c r="O118" s="192" t="str">
        <f t="shared" si="29"/>
        <v/>
      </c>
      <c r="P118" s="192" t="str">
        <f>IF(O118="","",SUM($O$116:O118)+$Z$116)</f>
        <v/>
      </c>
      <c r="Q118" s="192" t="str">
        <f t="shared" si="25"/>
        <v/>
      </c>
      <c r="R118" s="193" t="str">
        <f>IF(J118="Duplex",VLOOKUP(M118,'Características dos Cabos MX CH'!$C$12:$I$14,5),(IF(J118="Triplex",VLOOKUP(M118,'Características dos Cabos MX CH'!$C$15:$J$20,5),(IF(J118="Quadruplex",VLOOKUP(M118,'Características dos Cabos MX CH'!$C$21:$K$27,5),(IF(J118="13",VLOOKUP(M118,'Características dos Cabos MX CH'!$C$15:$L$20,5),"")))))))</f>
        <v/>
      </c>
      <c r="S118" s="193" t="str">
        <f>IF(J118="Duplex",VLOOKUP(M118,'Características dos Cabos MX CH'!$C$12:$I$14,6),(IF(J118="Triplex",VLOOKUP(M118,'Características dos Cabos MX CH'!$C$15:$J$20,6),(IF(J118="Quadruplex",VLOOKUP(M118,'Características dos Cabos MX CH'!$C$21:$K$27,6),(IF(J118="13",VLOOKUP(M118,'Características dos Cabos MX CH'!$C$15:$L$20,6),"")))))))</f>
        <v/>
      </c>
      <c r="T118" s="194" t="str">
        <f t="shared" si="27"/>
        <v/>
      </c>
      <c r="U118" s="447" t="str">
        <f>IF(J118="Duplex",VLOOKUP(M118,'Características dos Cabos MX CH'!$C$12:$I$14,2),(IF(J118="Triplex",VLOOKUP(M118,'Características dos Cabos MX CH'!$C$15:$J$20,2),(IF(J118="Quadruplex",VLOOKUP(M118,'Características dos Cabos MX CH'!$C$21:$K$27,2),(IF(J118="13",VLOOKUP(M118,'Características dos Cabos MX CH'!$C$15:$L$20,2),"")))))))</f>
        <v/>
      </c>
      <c r="V118" s="193" t="str">
        <f>IF(J118="Duplex",VLOOKUP(M118,'Características dos Cabos MX CH'!$C$12:$I$14,3),(IF(J118="Triplex",VLOOKUP(M118,'Características dos Cabos MX CH'!$C$15:$J$20,3),(IF(J118="Quadruplex",VLOOKUP(M118,'Características dos Cabos MX CH'!$C$21:$K$27,3),(IF(J118="13",VLOOKUP(M118,'Características dos Cabos MX CH'!$C$15:$L$20,3),"")))))))</f>
        <v/>
      </c>
      <c r="W118" s="195" t="str">
        <f t="shared" si="30"/>
        <v/>
      </c>
      <c r="X118" s="195" t="str">
        <f t="shared" si="31"/>
        <v/>
      </c>
      <c r="Y118" s="196" t="str">
        <f t="shared" si="32"/>
        <v/>
      </c>
      <c r="AA118" s="396">
        <f t="shared" si="33"/>
        <v>0</v>
      </c>
      <c r="AB118" s="396">
        <f t="shared" si="26"/>
        <v>0</v>
      </c>
      <c r="AC118" s="395"/>
      <c r="AE118" s="357" t="str">
        <f t="shared" si="23"/>
        <v/>
      </c>
      <c r="AF118" s="426">
        <f t="shared" si="28"/>
        <v>0</v>
      </c>
    </row>
    <row r="119" spans="1:32" ht="15" customHeight="1">
      <c r="A119" s="696"/>
      <c r="B119" s="698"/>
      <c r="C119" s="568"/>
      <c r="D119" s="567"/>
      <c r="E119" s="372"/>
      <c r="F119" s="189" t="str">
        <f t="shared" si="34"/>
        <v/>
      </c>
      <c r="G119" s="384"/>
      <c r="H119" s="190" t="str">
        <f>IF(AND(E119="",G119=""),"",SUM(F119:G125))</f>
        <v/>
      </c>
      <c r="I119" s="191"/>
      <c r="J119" s="222"/>
      <c r="K119" s="222"/>
      <c r="L119" s="197" t="str">
        <f>IF(J119="Duplex",VLOOKUP(M119,'Características dos Cabos MX CH'!$C$12:$I$14,7),(IF(J119="Triplex",VLOOKUP(M119,'Características dos Cabos MX CH'!$C$15:$J$20,8),(IF(J119="Quadruplex",VLOOKUP(M119,'Características dos Cabos MX CH'!$C$21:$K$27,9),(IF(J119="13",VLOOKUP(M119,'Características dos Cabos MX CH'!$C$15:$L$20,10),"")))))))</f>
        <v/>
      </c>
      <c r="M119" s="350" t="str">
        <f t="shared" si="24"/>
        <v/>
      </c>
      <c r="N119" s="377"/>
      <c r="O119" s="192" t="str">
        <f t="shared" si="29"/>
        <v/>
      </c>
      <c r="P119" s="192" t="str">
        <f>IF(O119="","",SUM($O$116:O119)+$Z$116)</f>
        <v/>
      </c>
      <c r="Q119" s="192" t="str">
        <f t="shared" si="25"/>
        <v/>
      </c>
      <c r="R119" s="193" t="str">
        <f>IF(J119="Duplex",VLOOKUP(M119,'Características dos Cabos MX CH'!$C$12:$I$14,5),(IF(J119="Triplex",VLOOKUP(M119,'Características dos Cabos MX CH'!$C$15:$J$20,5),(IF(J119="Quadruplex",VLOOKUP(M119,'Características dos Cabos MX CH'!$C$21:$K$27,5),(IF(J119="13",VLOOKUP(M119,'Características dos Cabos MX CH'!$C$15:$L$20,5),"")))))))</f>
        <v/>
      </c>
      <c r="S119" s="193" t="str">
        <f>IF(J119="Duplex",VLOOKUP(M119,'Características dos Cabos MX CH'!$C$12:$I$14,6),(IF(J119="Triplex",VLOOKUP(M119,'Características dos Cabos MX CH'!$C$15:$J$20,6),(IF(J119="Quadruplex",VLOOKUP(M119,'Características dos Cabos MX CH'!$C$21:$K$27,6),(IF(J119="13",VLOOKUP(M119,'Características dos Cabos MX CH'!$C$15:$L$20,6),"")))))))</f>
        <v/>
      </c>
      <c r="T119" s="194" t="str">
        <f t="shared" si="27"/>
        <v/>
      </c>
      <c r="U119" s="447" t="str">
        <f>IF(J119="Duplex",VLOOKUP(M119,'Características dos Cabos MX CH'!$C$12:$I$14,2),(IF(J119="Triplex",VLOOKUP(M119,'Características dos Cabos MX CH'!$C$15:$J$20,2),(IF(J119="Quadruplex",VLOOKUP(M119,'Características dos Cabos MX CH'!$C$21:$K$27,2),(IF(J119="13",VLOOKUP(M119,'Características dos Cabos MX CH'!$C$15:$L$20,2),"")))))))</f>
        <v/>
      </c>
      <c r="V119" s="193" t="str">
        <f>IF(J119="Duplex",VLOOKUP(M119,'Características dos Cabos MX CH'!$C$12:$I$14,3),(IF(J119="Triplex",VLOOKUP(M119,'Características dos Cabos MX CH'!$C$15:$J$20,3),(IF(J119="Quadruplex",VLOOKUP(M119,'Características dos Cabos MX CH'!$C$21:$K$27,3),(IF(J119="13",VLOOKUP(M119,'Características dos Cabos MX CH'!$C$15:$L$20,3),"")))))))</f>
        <v/>
      </c>
      <c r="W119" s="195" t="str">
        <f t="shared" si="30"/>
        <v/>
      </c>
      <c r="X119" s="195" t="str">
        <f t="shared" si="31"/>
        <v/>
      </c>
      <c r="Y119" s="196" t="str">
        <f t="shared" si="32"/>
        <v/>
      </c>
      <c r="AA119" s="396">
        <f t="shared" si="33"/>
        <v>0</v>
      </c>
      <c r="AB119" s="396">
        <f t="shared" si="26"/>
        <v>0</v>
      </c>
      <c r="AC119" s="395"/>
      <c r="AE119" s="357" t="str">
        <f t="shared" si="23"/>
        <v/>
      </c>
      <c r="AF119" s="426">
        <f t="shared" si="28"/>
        <v>0</v>
      </c>
    </row>
    <row r="120" spans="1:32" ht="15" customHeight="1">
      <c r="A120" s="696"/>
      <c r="B120" s="698"/>
      <c r="C120" s="568"/>
      <c r="D120" s="567"/>
      <c r="E120" s="372"/>
      <c r="F120" s="189" t="str">
        <f t="shared" si="34"/>
        <v/>
      </c>
      <c r="G120" s="384"/>
      <c r="H120" s="190" t="str">
        <f>IF(AND(E120="",G120=""),"",SUM(F120:G125))</f>
        <v/>
      </c>
      <c r="I120" s="191"/>
      <c r="J120" s="222"/>
      <c r="K120" s="222"/>
      <c r="L120" s="197" t="str">
        <f>IF(J120="Duplex",VLOOKUP(M120,'Características dos Cabos MX CH'!$C$12:$I$14,7),(IF(J120="Triplex",VLOOKUP(M120,'Características dos Cabos MX CH'!$C$15:$J$20,8),(IF(J120="Quadruplex",VLOOKUP(M120,'Características dos Cabos MX CH'!$C$21:$K$27,9),(IF(J120="13",VLOOKUP(M120,'Características dos Cabos MX CH'!$C$15:$L$20,10),"")))))))</f>
        <v/>
      </c>
      <c r="M120" s="350" t="str">
        <f t="shared" si="24"/>
        <v/>
      </c>
      <c r="N120" s="377"/>
      <c r="O120" s="192" t="str">
        <f t="shared" si="29"/>
        <v/>
      </c>
      <c r="P120" s="192" t="str">
        <f>IF(O120="","",SUM($O$116:O120)+$Z$116)</f>
        <v/>
      </c>
      <c r="Q120" s="192" t="str">
        <f t="shared" si="25"/>
        <v/>
      </c>
      <c r="R120" s="193" t="str">
        <f>IF(J120="Duplex",VLOOKUP(M120,'Características dos Cabos MX CH'!$C$12:$I$14,5),(IF(J120="Triplex",VLOOKUP(M120,'Características dos Cabos MX CH'!$C$15:$J$20,5),(IF(J120="Quadruplex",VLOOKUP(M120,'Características dos Cabos MX CH'!$C$21:$K$27,5),(IF(J120="13",VLOOKUP(M120,'Características dos Cabos MX CH'!$C$15:$L$20,5),"")))))))</f>
        <v/>
      </c>
      <c r="S120" s="193" t="str">
        <f>IF(J120="Duplex",VLOOKUP(M120,'Características dos Cabos MX CH'!$C$12:$I$14,6),(IF(J120="Triplex",VLOOKUP(M120,'Características dos Cabos MX CH'!$C$15:$J$20,6),(IF(J120="Quadruplex",VLOOKUP(M120,'Características dos Cabos MX CH'!$C$21:$K$27,6),(IF(J120="13",VLOOKUP(M120,'Características dos Cabos MX CH'!$C$15:$L$20,6),"")))))))</f>
        <v/>
      </c>
      <c r="T120" s="194" t="str">
        <f t="shared" si="27"/>
        <v/>
      </c>
      <c r="U120" s="447" t="str">
        <f>IF(J120="Duplex",VLOOKUP(M120,'Características dos Cabos MX CH'!$C$12:$I$14,2),(IF(J120="Triplex",VLOOKUP(M120,'Características dos Cabos MX CH'!$C$15:$J$20,2),(IF(J120="Quadruplex",VLOOKUP(M120,'Características dos Cabos MX CH'!$C$21:$K$27,2),(IF(J120="13",VLOOKUP(M120,'Características dos Cabos MX CH'!$C$15:$L$20,2),"")))))))</f>
        <v/>
      </c>
      <c r="V120" s="193" t="str">
        <f>IF(J120="Duplex",VLOOKUP(M120,'Características dos Cabos MX CH'!$C$12:$I$14,3),(IF(J120="Triplex",VLOOKUP(M120,'Características dos Cabos MX CH'!$C$15:$J$20,3),(IF(J120="Quadruplex",VLOOKUP(M120,'Características dos Cabos MX CH'!$C$21:$K$27,3),(IF(J120="13",VLOOKUP(M120,'Características dos Cabos MX CH'!$C$15:$L$20,3),"")))))))</f>
        <v/>
      </c>
      <c r="W120" s="195" t="str">
        <f t="shared" si="30"/>
        <v/>
      </c>
      <c r="X120" s="195" t="str">
        <f t="shared" si="31"/>
        <v/>
      </c>
      <c r="Y120" s="196" t="str">
        <f t="shared" si="32"/>
        <v/>
      </c>
      <c r="AA120" s="396">
        <f t="shared" si="33"/>
        <v>0</v>
      </c>
      <c r="AB120" s="396">
        <f t="shared" si="26"/>
        <v>0</v>
      </c>
      <c r="AC120" s="395"/>
      <c r="AE120" s="357" t="str">
        <f t="shared" si="23"/>
        <v/>
      </c>
      <c r="AF120" s="426">
        <f t="shared" si="28"/>
        <v>0</v>
      </c>
    </row>
    <row r="121" spans="1:32" ht="15" customHeight="1">
      <c r="A121" s="696"/>
      <c r="B121" s="698"/>
      <c r="C121" s="568"/>
      <c r="D121" s="567"/>
      <c r="E121" s="372"/>
      <c r="F121" s="189" t="str">
        <f t="shared" si="34"/>
        <v/>
      </c>
      <c r="G121" s="384"/>
      <c r="H121" s="190" t="str">
        <f>IF(AND(E121="",G121=""),"",SUM(F121:G125))</f>
        <v/>
      </c>
      <c r="I121" s="191"/>
      <c r="J121" s="222"/>
      <c r="K121" s="222"/>
      <c r="L121" s="197" t="str">
        <f>IF(J121="Duplex",VLOOKUP(M121,'Características dos Cabos MX CH'!$C$12:$I$14,7),(IF(J121="Triplex",VLOOKUP(M121,'Características dos Cabos MX CH'!$C$15:$J$20,8),(IF(J121="Quadruplex",VLOOKUP(M121,'Características dos Cabos MX CH'!$C$21:$K$27,9),(IF(J121="13",VLOOKUP(M121,'Características dos Cabos MX CH'!$C$15:$L$20,10),"")))))))</f>
        <v/>
      </c>
      <c r="M121" s="350" t="str">
        <f t="shared" si="24"/>
        <v/>
      </c>
      <c r="N121" s="377"/>
      <c r="O121" s="192" t="str">
        <f t="shared" si="29"/>
        <v/>
      </c>
      <c r="P121" s="192" t="str">
        <f>IF(O121="","",SUM($O$116:O121)+$Z$116)</f>
        <v/>
      </c>
      <c r="Q121" s="192" t="str">
        <f t="shared" si="25"/>
        <v/>
      </c>
      <c r="R121" s="193" t="str">
        <f>IF(J121="Duplex",VLOOKUP(M121,'Características dos Cabos MX CH'!$C$12:$I$14,5),(IF(J121="Triplex",VLOOKUP(M121,'Características dos Cabos MX CH'!$C$15:$J$20,5),(IF(J121="Quadruplex",VLOOKUP(M121,'Características dos Cabos MX CH'!$C$21:$K$27,5),(IF(J121="13",VLOOKUP(M121,'Características dos Cabos MX CH'!$C$15:$L$20,5),"")))))))</f>
        <v/>
      </c>
      <c r="S121" s="193" t="str">
        <f>IF(J121="Duplex",VLOOKUP(M121,'Características dos Cabos MX CH'!$C$12:$I$14,6),(IF(J121="Triplex",VLOOKUP(M121,'Características dos Cabos MX CH'!$C$15:$J$20,6),(IF(J121="Quadruplex",VLOOKUP(M121,'Características dos Cabos MX CH'!$C$21:$K$27,6),(IF(J121="13",VLOOKUP(M121,'Características dos Cabos MX CH'!$C$15:$L$20,6),"")))))))</f>
        <v/>
      </c>
      <c r="T121" s="194" t="str">
        <f t="shared" si="27"/>
        <v/>
      </c>
      <c r="U121" s="447" t="str">
        <f>IF(J121="Duplex",VLOOKUP(M121,'Características dos Cabos MX CH'!$C$12:$I$14,2),(IF(J121="Triplex",VLOOKUP(M121,'Características dos Cabos MX CH'!$C$15:$J$20,2),(IF(J121="Quadruplex",VLOOKUP(M121,'Características dos Cabos MX CH'!$C$21:$K$27,2),(IF(J121="13",VLOOKUP(M121,'Características dos Cabos MX CH'!$C$15:$L$20,2),"")))))))</f>
        <v/>
      </c>
      <c r="V121" s="193" t="str">
        <f>IF(J121="Duplex",VLOOKUP(M121,'Características dos Cabos MX CH'!$C$12:$I$14,3),(IF(J121="Triplex",VLOOKUP(M121,'Características dos Cabos MX CH'!$C$15:$J$20,3),(IF(J121="Quadruplex",VLOOKUP(M121,'Características dos Cabos MX CH'!$C$21:$K$27,3),(IF(J121="13",VLOOKUP(M121,'Características dos Cabos MX CH'!$C$15:$L$20,3),"")))))))</f>
        <v/>
      </c>
      <c r="W121" s="195" t="str">
        <f t="shared" si="30"/>
        <v/>
      </c>
      <c r="X121" s="195" t="str">
        <f t="shared" si="31"/>
        <v/>
      </c>
      <c r="Y121" s="196" t="str">
        <f t="shared" si="32"/>
        <v/>
      </c>
      <c r="AA121" s="396">
        <f t="shared" si="33"/>
        <v>0</v>
      </c>
      <c r="AB121" s="396">
        <f t="shared" si="26"/>
        <v>0</v>
      </c>
      <c r="AC121" s="395"/>
      <c r="AE121" s="357" t="str">
        <f t="shared" si="23"/>
        <v/>
      </c>
      <c r="AF121" s="426">
        <f t="shared" si="28"/>
        <v>0</v>
      </c>
    </row>
    <row r="122" spans="1:32" ht="15" customHeight="1">
      <c r="A122" s="696"/>
      <c r="B122" s="698"/>
      <c r="C122" s="568"/>
      <c r="D122" s="567"/>
      <c r="E122" s="372"/>
      <c r="F122" s="189" t="str">
        <f t="shared" si="34"/>
        <v/>
      </c>
      <c r="G122" s="384"/>
      <c r="H122" s="190" t="str">
        <f>IF(AND(E122="",G122=""),"",SUM(F122:G125))</f>
        <v/>
      </c>
      <c r="I122" s="191"/>
      <c r="J122" s="222"/>
      <c r="K122" s="222"/>
      <c r="L122" s="197" t="str">
        <f>IF(J122="Duplex",VLOOKUP(M122,'Características dos Cabos MX CH'!$C$12:$I$14,7),(IF(J122="Triplex",VLOOKUP(M122,'Características dos Cabos MX CH'!$C$15:$J$20,8),(IF(J122="Quadruplex",VLOOKUP(M122,'Características dos Cabos MX CH'!$C$21:$K$27,9),(IF(J122="13",VLOOKUP(M122,'Características dos Cabos MX CH'!$C$15:$L$20,10),"")))))))</f>
        <v/>
      </c>
      <c r="M122" s="350" t="str">
        <f t="shared" si="24"/>
        <v/>
      </c>
      <c r="N122" s="377"/>
      <c r="O122" s="192" t="str">
        <f t="shared" si="29"/>
        <v/>
      </c>
      <c r="P122" s="192" t="str">
        <f>IF(O122="","",SUM($O$116:O122)+$Z$116)</f>
        <v/>
      </c>
      <c r="Q122" s="192" t="str">
        <f t="shared" si="25"/>
        <v/>
      </c>
      <c r="R122" s="193" t="str">
        <f>IF(J122="Duplex",VLOOKUP(M122,'Características dos Cabos MX CH'!$C$12:$I$14,5),(IF(J122="Triplex",VLOOKUP(M122,'Características dos Cabos MX CH'!$C$15:$J$20,5),(IF(J122="Quadruplex",VLOOKUP(M122,'Características dos Cabos MX CH'!$C$21:$K$27,5),(IF(J122="13",VLOOKUP(M122,'Características dos Cabos MX CH'!$C$15:$L$20,5),"")))))))</f>
        <v/>
      </c>
      <c r="S122" s="193" t="str">
        <f>IF(J122="Duplex",VLOOKUP(M122,'Características dos Cabos MX CH'!$C$12:$I$14,6),(IF(J122="Triplex",VLOOKUP(M122,'Características dos Cabos MX CH'!$C$15:$J$20,6),(IF(J122="Quadruplex",VLOOKUP(M122,'Características dos Cabos MX CH'!$C$21:$K$27,6),(IF(J122="13",VLOOKUP(M122,'Características dos Cabos MX CH'!$C$15:$L$20,6),"")))))))</f>
        <v/>
      </c>
      <c r="T122" s="194" t="str">
        <f t="shared" si="27"/>
        <v/>
      </c>
      <c r="U122" s="447" t="str">
        <f>IF(J122="Duplex",VLOOKUP(M122,'Características dos Cabos MX CH'!$C$12:$I$14,2),(IF(J122="Triplex",VLOOKUP(M122,'Características dos Cabos MX CH'!$C$15:$J$20,2),(IF(J122="Quadruplex",VLOOKUP(M122,'Características dos Cabos MX CH'!$C$21:$K$27,2),(IF(J122="13",VLOOKUP(M122,'Características dos Cabos MX CH'!$C$15:$L$20,2),"")))))))</f>
        <v/>
      </c>
      <c r="V122" s="193" t="str">
        <f>IF(J122="Duplex",VLOOKUP(M122,'Características dos Cabos MX CH'!$C$12:$I$14,3),(IF(J122="Triplex",VLOOKUP(M122,'Características dos Cabos MX CH'!$C$15:$J$20,3),(IF(J122="Quadruplex",VLOOKUP(M122,'Características dos Cabos MX CH'!$C$21:$K$27,3),(IF(J122="13",VLOOKUP(M122,'Características dos Cabos MX CH'!$C$15:$L$20,3),"")))))))</f>
        <v/>
      </c>
      <c r="W122" s="195" t="str">
        <f t="shared" si="30"/>
        <v/>
      </c>
      <c r="X122" s="195" t="str">
        <f t="shared" si="31"/>
        <v/>
      </c>
      <c r="Y122" s="196" t="str">
        <f t="shared" si="32"/>
        <v/>
      </c>
      <c r="AA122" s="396">
        <f t="shared" si="33"/>
        <v>0</v>
      </c>
      <c r="AB122" s="396">
        <f t="shared" si="26"/>
        <v>0</v>
      </c>
      <c r="AC122" s="395"/>
      <c r="AE122" s="357" t="str">
        <f t="shared" si="23"/>
        <v/>
      </c>
      <c r="AF122" s="426">
        <f t="shared" si="28"/>
        <v>0</v>
      </c>
    </row>
    <row r="123" spans="1:32" ht="15" customHeight="1">
      <c r="A123" s="696"/>
      <c r="B123" s="698"/>
      <c r="C123" s="568"/>
      <c r="D123" s="368"/>
      <c r="E123" s="372"/>
      <c r="F123" s="189" t="str">
        <f t="shared" si="34"/>
        <v/>
      </c>
      <c r="G123" s="384"/>
      <c r="H123" s="190" t="str">
        <f>IF(AND(E123="",G123=""),"",SUM(F123:G125))</f>
        <v/>
      </c>
      <c r="I123" s="191"/>
      <c r="J123" s="222"/>
      <c r="K123" s="222"/>
      <c r="L123" s="197" t="str">
        <f>IF(J123="Duplex",VLOOKUP(M123,'Características dos Cabos MX CH'!$C$12:$I$14,7),(IF(J123="Triplex",VLOOKUP(M123,'Características dos Cabos MX CH'!$C$15:$J$20,8),(IF(J123="Quadruplex",VLOOKUP(M123,'Características dos Cabos MX CH'!$C$21:$K$27,9),(IF(J123="13",VLOOKUP(M123,'Características dos Cabos MX CH'!$C$15:$L$20,10),"")))))))</f>
        <v/>
      </c>
      <c r="M123" s="350" t="str">
        <f t="shared" si="24"/>
        <v/>
      </c>
      <c r="N123" s="377"/>
      <c r="O123" s="192" t="str">
        <f t="shared" si="29"/>
        <v/>
      </c>
      <c r="P123" s="192" t="str">
        <f>IF(O123="","",SUM($O$116:O123)+$Z$116)</f>
        <v/>
      </c>
      <c r="Q123" s="192" t="str">
        <f t="shared" si="25"/>
        <v/>
      </c>
      <c r="R123" s="193" t="str">
        <f>IF(J123="Duplex",VLOOKUP(M123,'Características dos Cabos MX CH'!$C$12:$I$14,5),(IF(J123="Triplex",VLOOKUP(M123,'Características dos Cabos MX CH'!$C$15:$J$20,5),(IF(J123="Quadruplex",VLOOKUP(M123,'Características dos Cabos MX CH'!$C$21:$K$27,5),(IF(J123="13",VLOOKUP(M123,'Características dos Cabos MX CH'!$C$15:$L$20,5),"")))))))</f>
        <v/>
      </c>
      <c r="S123" s="193" t="str">
        <f>IF(J123="Duplex",VLOOKUP(M123,'Características dos Cabos MX CH'!$C$12:$I$14,6),(IF(J123="Triplex",VLOOKUP(M123,'Características dos Cabos MX CH'!$C$15:$J$20,6),(IF(J123="Quadruplex",VLOOKUP(M123,'Características dos Cabos MX CH'!$C$21:$K$27,6),(IF(J123="13",VLOOKUP(M123,'Características dos Cabos MX CH'!$C$15:$L$20,6),"")))))))</f>
        <v/>
      </c>
      <c r="T123" s="194" t="str">
        <f t="shared" si="27"/>
        <v/>
      </c>
      <c r="U123" s="447" t="str">
        <f>IF(J123="Duplex",VLOOKUP(M123,'Características dos Cabos MX CH'!$C$12:$I$14,2),(IF(J123="Triplex",VLOOKUP(M123,'Características dos Cabos MX CH'!$C$15:$J$20,2),(IF(J123="Quadruplex",VLOOKUP(M123,'Características dos Cabos MX CH'!$C$21:$K$27,2),(IF(J123="13",VLOOKUP(M123,'Características dos Cabos MX CH'!$C$15:$L$20,2),"")))))))</f>
        <v/>
      </c>
      <c r="V123" s="193" t="str">
        <f>IF(J123="Duplex",VLOOKUP(M123,'Características dos Cabos MX CH'!$C$12:$I$14,3),(IF(J123="Triplex",VLOOKUP(M123,'Características dos Cabos MX CH'!$C$15:$J$20,3),(IF(J123="Quadruplex",VLOOKUP(M123,'Características dos Cabos MX CH'!$C$21:$K$27,3),(IF(J123="13",VLOOKUP(M123,'Características dos Cabos MX CH'!$C$15:$L$20,3),"")))))))</f>
        <v/>
      </c>
      <c r="W123" s="195" t="str">
        <f t="shared" si="30"/>
        <v/>
      </c>
      <c r="X123" s="195" t="str">
        <f t="shared" si="31"/>
        <v/>
      </c>
      <c r="Y123" s="196" t="str">
        <f t="shared" si="32"/>
        <v/>
      </c>
      <c r="AA123" s="396">
        <f t="shared" si="33"/>
        <v>0</v>
      </c>
      <c r="AB123" s="396">
        <f t="shared" si="26"/>
        <v>0</v>
      </c>
      <c r="AC123" s="395"/>
      <c r="AE123" s="357" t="str">
        <f t="shared" si="23"/>
        <v/>
      </c>
      <c r="AF123" s="426">
        <f t="shared" si="28"/>
        <v>0</v>
      </c>
    </row>
    <row r="124" spans="1:32" ht="15" customHeight="1">
      <c r="A124" s="696"/>
      <c r="B124" s="698"/>
      <c r="C124" s="568"/>
      <c r="D124" s="368"/>
      <c r="E124" s="372"/>
      <c r="F124" s="189" t="str">
        <f t="shared" si="34"/>
        <v/>
      </c>
      <c r="G124" s="384"/>
      <c r="H124" s="190" t="str">
        <f>IF(AND(E124="",G124=""),"",SUM(F124:G125))</f>
        <v/>
      </c>
      <c r="I124" s="191"/>
      <c r="J124" s="222"/>
      <c r="K124" s="222"/>
      <c r="L124" s="197" t="str">
        <f>IF(J124="Duplex",VLOOKUP(M124,'Características dos Cabos MX CH'!$C$12:$I$14,7),(IF(J124="Triplex",VLOOKUP(M124,'Características dos Cabos MX CH'!$C$15:$J$20,8),(IF(J124="Quadruplex",VLOOKUP(M124,'Características dos Cabos MX CH'!$C$21:$K$27,9),(IF(J124="13",VLOOKUP(M124,'Características dos Cabos MX CH'!$C$15:$L$20,10),"")))))))</f>
        <v/>
      </c>
      <c r="M124" s="350" t="str">
        <f t="shared" si="24"/>
        <v/>
      </c>
      <c r="N124" s="377"/>
      <c r="O124" s="192" t="str">
        <f t="shared" si="29"/>
        <v/>
      </c>
      <c r="P124" s="192" t="str">
        <f>IF(O124="","",SUM($O$116:O124)+$Z$116)</f>
        <v/>
      </c>
      <c r="Q124" s="192" t="str">
        <f t="shared" si="25"/>
        <v/>
      </c>
      <c r="R124" s="193" t="str">
        <f>IF(J124="Duplex",VLOOKUP(M124,'Características dos Cabos MX CH'!$C$12:$I$14,5),(IF(J124="Triplex",VLOOKUP(M124,'Características dos Cabos MX CH'!$C$15:$J$20,5),(IF(J124="Quadruplex",VLOOKUP(M124,'Características dos Cabos MX CH'!$C$21:$K$27,5),(IF(J124="13",VLOOKUP(M124,'Características dos Cabos MX CH'!$C$15:$L$20,5),"")))))))</f>
        <v/>
      </c>
      <c r="S124" s="193" t="str">
        <f>IF(J124="Duplex",VLOOKUP(M124,'Características dos Cabos MX CH'!$C$12:$I$14,6),(IF(J124="Triplex",VLOOKUP(M124,'Características dos Cabos MX CH'!$C$15:$J$20,6),(IF(J124="Quadruplex",VLOOKUP(M124,'Características dos Cabos MX CH'!$C$21:$K$27,6),(IF(J124="13",VLOOKUP(M124,'Características dos Cabos MX CH'!$C$15:$L$20,6),"")))))))</f>
        <v/>
      </c>
      <c r="T124" s="194" t="str">
        <f t="shared" si="27"/>
        <v/>
      </c>
      <c r="U124" s="447" t="str">
        <f>IF(J124="Duplex",VLOOKUP(M124,'Características dos Cabos MX CH'!$C$12:$I$14,2),(IF(J124="Triplex",VLOOKUP(M124,'Características dos Cabos MX CH'!$C$15:$J$20,2),(IF(J124="Quadruplex",VLOOKUP(M124,'Características dos Cabos MX CH'!$C$21:$K$27,2),(IF(J124="13",VLOOKUP(M124,'Características dos Cabos MX CH'!$C$15:$L$20,2),"")))))))</f>
        <v/>
      </c>
      <c r="V124" s="193" t="str">
        <f>IF(J124="Duplex",VLOOKUP(M124,'Características dos Cabos MX CH'!$C$12:$I$14,3),(IF(J124="Triplex",VLOOKUP(M124,'Características dos Cabos MX CH'!$C$15:$J$20,3),(IF(J124="Quadruplex",VLOOKUP(M124,'Características dos Cabos MX CH'!$C$21:$K$27,3),(IF(J124="13",VLOOKUP(M124,'Características dos Cabos MX CH'!$C$15:$L$20,3),"")))))))</f>
        <v/>
      </c>
      <c r="W124" s="195" t="str">
        <f t="shared" si="30"/>
        <v/>
      </c>
      <c r="X124" s="195" t="str">
        <f t="shared" si="31"/>
        <v/>
      </c>
      <c r="Y124" s="196" t="str">
        <f t="shared" si="32"/>
        <v/>
      </c>
      <c r="AA124" s="396">
        <f t="shared" si="33"/>
        <v>0</v>
      </c>
      <c r="AB124" s="396">
        <f t="shared" si="26"/>
        <v>0</v>
      </c>
      <c r="AC124" s="395"/>
      <c r="AE124" s="357" t="str">
        <f t="shared" si="23"/>
        <v/>
      </c>
      <c r="AF124" s="426">
        <f t="shared" si="28"/>
        <v>0</v>
      </c>
    </row>
    <row r="125" spans="1:32" ht="15" customHeight="1" thickBot="1">
      <c r="A125" s="696"/>
      <c r="B125" s="699"/>
      <c r="C125" s="568"/>
      <c r="D125" s="370"/>
      <c r="E125" s="369"/>
      <c r="F125" s="199" t="str">
        <f t="shared" si="34"/>
        <v/>
      </c>
      <c r="G125" s="385"/>
      <c r="H125" s="200" t="str">
        <f>IF(AND(E125="",G125=""),"",SUM(F125:G125))</f>
        <v/>
      </c>
      <c r="I125" s="201"/>
      <c r="J125" s="223"/>
      <c r="K125" s="223"/>
      <c r="L125" s="202" t="str">
        <f>IF(J125="Duplex",VLOOKUP(M125,'Características dos Cabos MX CH'!$C$12:$I$14,7),(IF(J125="Triplex",VLOOKUP(M125,'Características dos Cabos MX CH'!$C$15:$J$20,8),(IF(J125="Quadruplex",VLOOKUP(M125,'Características dos Cabos MX CH'!$C$21:$K$27,9),(IF(J125="13",VLOOKUP(M125,'Características dos Cabos MX CH'!$C$15:$L$20,10),"")))))))</f>
        <v/>
      </c>
      <c r="M125" s="353" t="str">
        <f t="shared" si="24"/>
        <v/>
      </c>
      <c r="N125" s="378"/>
      <c r="O125" s="203" t="str">
        <f t="shared" si="29"/>
        <v/>
      </c>
      <c r="P125" s="192" t="str">
        <f>IF(O125="","",SUM($O$116:O125)+$Z$116)</f>
        <v/>
      </c>
      <c r="Q125" s="203" t="str">
        <f t="shared" si="25"/>
        <v/>
      </c>
      <c r="R125" s="204" t="str">
        <f>IF(J125="Duplex",VLOOKUP(M125,'Características dos Cabos MX CH'!$C$12:$I$14,5),(IF(J125="Triplex",VLOOKUP(M125,'Características dos Cabos MX CH'!$C$15:$J$20,5),(IF(J125="Quadruplex",VLOOKUP(M125,'Características dos Cabos MX CH'!$C$21:$K$27,5),(IF(J125="13",VLOOKUP(M125,'Características dos Cabos MX CH'!$C$15:$L$20,5),"")))))))</f>
        <v/>
      </c>
      <c r="S125" s="204" t="str">
        <f>IF(J125="Duplex",VLOOKUP(M125,'Características dos Cabos MX CH'!$C$12:$I$14,6),(IF(J125="Triplex",VLOOKUP(M125,'Características dos Cabos MX CH'!$C$15:$J$20,6),(IF(J125="Quadruplex",VLOOKUP(M125,'Características dos Cabos MX CH'!$C$21:$K$27,6),(IF(J125="13",VLOOKUP(M125,'Características dos Cabos MX CH'!$C$15:$L$20,6),"")))))))</f>
        <v/>
      </c>
      <c r="T125" s="205" t="str">
        <f t="shared" si="27"/>
        <v/>
      </c>
      <c r="U125" s="448" t="str">
        <f>IF(J125="Duplex",VLOOKUP(M125,'Características dos Cabos MX CH'!$C$12:$I$14,2),(IF(J125="Triplex",VLOOKUP(M125,'Características dos Cabos MX CH'!$C$15:$J$20,2),(IF(J125="Quadruplex",VLOOKUP(M125,'Características dos Cabos MX CH'!$C$21:$K$27,2),(IF(J125="13",VLOOKUP(M125,'Características dos Cabos MX CH'!$C$15:$L$20,2),"")))))))</f>
        <v/>
      </c>
      <c r="V125" s="204" t="str">
        <f>IF(J125="Duplex",VLOOKUP(M125,'Características dos Cabos MX CH'!$C$12:$I$14,3),(IF(J125="Triplex",VLOOKUP(M125,'Características dos Cabos MX CH'!$C$15:$J$20,3),(IF(J125="Quadruplex",VLOOKUP(M125,'Características dos Cabos MX CH'!$C$21:$K$27,3),(IF(J125="13",VLOOKUP(M125,'Características dos Cabos MX CH'!$C$15:$L$20,3),"")))))))</f>
        <v/>
      </c>
      <c r="W125" s="206" t="str">
        <f t="shared" si="30"/>
        <v/>
      </c>
      <c r="X125" s="206" t="str">
        <f t="shared" si="31"/>
        <v/>
      </c>
      <c r="Y125" s="207" t="str">
        <f t="shared" si="32"/>
        <v/>
      </c>
      <c r="AA125" s="396">
        <f t="shared" si="33"/>
        <v>0</v>
      </c>
      <c r="AB125" s="396">
        <f t="shared" si="26"/>
        <v>0</v>
      </c>
      <c r="AC125" s="395"/>
      <c r="AE125" s="357" t="str">
        <f t="shared" si="23"/>
        <v/>
      </c>
      <c r="AF125" s="426">
        <f t="shared" si="28"/>
        <v>0</v>
      </c>
    </row>
    <row r="126" spans="1:32" ht="15" customHeight="1" thickTop="1">
      <c r="A126" s="696"/>
      <c r="B126" s="700" t="str">
        <f>CONCATENATE("Ramal 9 - Derivando no ponto ",C126)</f>
        <v xml:space="preserve">Ramal 9 - Derivando no ponto </v>
      </c>
      <c r="C126" s="572"/>
      <c r="D126" s="573"/>
      <c r="E126" s="374"/>
      <c r="F126" s="208" t="str">
        <f t="shared" si="34"/>
        <v/>
      </c>
      <c r="G126" s="386"/>
      <c r="H126" s="209" t="str">
        <f>IF(AND(E126="",G126=""),"",SUM(F126:G135))</f>
        <v/>
      </c>
      <c r="I126" s="210"/>
      <c r="J126" s="224"/>
      <c r="K126" s="224"/>
      <c r="L126" s="211" t="str">
        <f>IF(J126="Duplex",VLOOKUP(M126,'Características dos Cabos MX CH'!$C$12:$I$14,7),(IF(J126="Triplex",VLOOKUP(M126,'Características dos Cabos MX CH'!$C$15:$J$20,8),(IF(J126="Quadruplex",VLOOKUP(M126,'Características dos Cabos MX CH'!$C$21:$K$27,9),(IF(J126="13",VLOOKUP(M126,'Características dos Cabos MX CH'!$C$15:$L$20,10),"")))))))</f>
        <v/>
      </c>
      <c r="M126" s="354" t="str">
        <f t="shared" si="24"/>
        <v/>
      </c>
      <c r="N126" s="379"/>
      <c r="O126" s="212" t="str">
        <f t="shared" si="29"/>
        <v/>
      </c>
      <c r="P126" s="217" t="str">
        <f>IF(O126="","",O126+VLOOKUP(C126,$D$20:$Q$125,13,FALSE))</f>
        <v/>
      </c>
      <c r="Q126" s="212" t="str">
        <f t="shared" si="25"/>
        <v/>
      </c>
      <c r="R126" s="213" t="str">
        <f>IF(J126="Duplex",VLOOKUP(M126,'Características dos Cabos MX CH'!$C$12:$I$14,5),(IF(J126="Triplex",VLOOKUP(M126,'Características dos Cabos MX CH'!$C$15:$J$20,5),(IF(J126="Quadruplex",VLOOKUP(M126,'Características dos Cabos MX CH'!$C$21:$K$27,5),(IF(J126="13",VLOOKUP(M126,'Características dos Cabos MX CH'!$C$15:$L$20,5),"")))))))</f>
        <v/>
      </c>
      <c r="S126" s="213" t="str">
        <f>IF(J126="Duplex",VLOOKUP(M126,'Características dos Cabos MX CH'!$C$12:$I$14,6),(IF(J126="Triplex",VLOOKUP(M126,'Características dos Cabos MX CH'!$C$15:$J$20,6),(IF(J126="Quadruplex",VLOOKUP(M126,'Características dos Cabos MX CH'!$C$21:$K$27,6),(IF(J126="13",VLOOKUP(M126,'Características dos Cabos MX CH'!$C$15:$L$20,6),"")))))))</f>
        <v/>
      </c>
      <c r="T126" s="214" t="str">
        <f t="shared" si="27"/>
        <v/>
      </c>
      <c r="U126" s="450" t="str">
        <f>IF(J126="Duplex",VLOOKUP(M126,'Características dos Cabos MX CH'!$C$12:$I$14,2),(IF(J126="Triplex",VLOOKUP(M126,'Características dos Cabos MX CH'!$C$15:$J$20,2),(IF(J126="Quadruplex",VLOOKUP(M126,'Características dos Cabos MX CH'!$C$21:$K$27,2),(IF(J126="13",VLOOKUP(M126,'Características dos Cabos MX CH'!$C$15:$L$20,2),"")))))))</f>
        <v/>
      </c>
      <c r="V126" s="213" t="str">
        <f>IF(J126="Duplex",VLOOKUP(M126,'Características dos Cabos MX CH'!$C$12:$I$14,3),(IF(J126="Triplex",VLOOKUP(M126,'Características dos Cabos MX CH'!$C$15:$J$20,3),(IF(J126="Quadruplex",VLOOKUP(M126,'Características dos Cabos MX CH'!$C$21:$K$27,3),(IF(J126="13",VLOOKUP(M126,'Características dos Cabos MX CH'!$C$15:$L$20,3),"")))))))</f>
        <v/>
      </c>
      <c r="W126" s="215" t="str">
        <f t="shared" si="30"/>
        <v/>
      </c>
      <c r="X126" s="215" t="str">
        <f t="shared" si="31"/>
        <v/>
      </c>
      <c r="Y126" s="216" t="str">
        <f t="shared" si="32"/>
        <v/>
      </c>
      <c r="Z126" s="393" t="str">
        <f>IF(O126="","",VLOOKUP(C126,$D$20:$P$125,13,FALSE))</f>
        <v/>
      </c>
      <c r="AA126" s="396">
        <f t="shared" si="33"/>
        <v>0</v>
      </c>
      <c r="AB126" s="396">
        <f t="shared" si="26"/>
        <v>0</v>
      </c>
      <c r="AC126" s="395"/>
      <c r="AE126" s="357" t="str">
        <f t="shared" si="23"/>
        <v/>
      </c>
      <c r="AF126" s="426">
        <f t="shared" si="28"/>
        <v>0</v>
      </c>
    </row>
    <row r="127" spans="1:32" ht="15" customHeight="1">
      <c r="A127" s="696"/>
      <c r="B127" s="698"/>
      <c r="C127" s="562"/>
      <c r="D127" s="567"/>
      <c r="E127" s="372"/>
      <c r="F127" s="189" t="str">
        <f t="shared" si="34"/>
        <v/>
      </c>
      <c r="G127" s="384"/>
      <c r="H127" s="190" t="str">
        <f>IF(AND(E127="",G127=""),"",SUM(F127:G135))</f>
        <v/>
      </c>
      <c r="I127" s="191"/>
      <c r="J127" s="222"/>
      <c r="K127" s="222"/>
      <c r="L127" s="197" t="str">
        <f>IF(J127="Duplex",VLOOKUP(M127,'Características dos Cabos MX CH'!$C$12:$I$14,7),(IF(J127="Triplex",VLOOKUP(M127,'Características dos Cabos MX CH'!$C$15:$J$20,8),(IF(J127="Quadruplex",VLOOKUP(M127,'Características dos Cabos MX CH'!$C$21:$K$27,9),(IF(J127="13",VLOOKUP(M127,'Características dos Cabos MX CH'!$C$15:$L$20,10),"")))))))</f>
        <v/>
      </c>
      <c r="M127" s="350" t="str">
        <f t="shared" si="24"/>
        <v/>
      </c>
      <c r="N127" s="377"/>
      <c r="O127" s="192" t="str">
        <f t="shared" si="29"/>
        <v/>
      </c>
      <c r="P127" s="192" t="str">
        <f>IF(O127="","",SUM($O$126:O127)+$Z$126)</f>
        <v/>
      </c>
      <c r="Q127" s="192" t="str">
        <f t="shared" si="25"/>
        <v/>
      </c>
      <c r="R127" s="193" t="str">
        <f>IF(J127="Duplex",VLOOKUP(M127,'Características dos Cabos MX CH'!$C$12:$I$14,5),(IF(J127="Triplex",VLOOKUP(M127,'Características dos Cabos MX CH'!$C$15:$J$20,5),(IF(J127="Quadruplex",VLOOKUP(M127,'Características dos Cabos MX CH'!$C$21:$K$27,5),(IF(J127="13",VLOOKUP(M127,'Características dos Cabos MX CH'!$C$15:$L$20,5),"")))))))</f>
        <v/>
      </c>
      <c r="S127" s="193" t="str">
        <f>IF(J127="Duplex",VLOOKUP(M127,'Características dos Cabos MX CH'!$C$12:$I$14,6),(IF(J127="Triplex",VLOOKUP(M127,'Características dos Cabos MX CH'!$C$15:$J$20,6),(IF(J127="Quadruplex",VLOOKUP(M127,'Características dos Cabos MX CH'!$C$21:$K$27,6),(IF(J127="13",VLOOKUP(M127,'Características dos Cabos MX CH'!$C$15:$L$20,6),"")))))))</f>
        <v/>
      </c>
      <c r="T127" s="194" t="str">
        <f t="shared" si="27"/>
        <v/>
      </c>
      <c r="U127" s="447" t="str">
        <f>IF(J127="Duplex",VLOOKUP(M127,'Características dos Cabos MX CH'!$C$12:$I$14,2),(IF(J127="Triplex",VLOOKUP(M127,'Características dos Cabos MX CH'!$C$15:$J$20,2),(IF(J127="Quadruplex",VLOOKUP(M127,'Características dos Cabos MX CH'!$C$21:$K$27,2),(IF(J127="13",VLOOKUP(M127,'Características dos Cabos MX CH'!$C$15:$L$20,2),"")))))))</f>
        <v/>
      </c>
      <c r="V127" s="193" t="str">
        <f>IF(J127="Duplex",VLOOKUP(M127,'Características dos Cabos MX CH'!$C$12:$I$14,3),(IF(J127="Triplex",VLOOKUP(M127,'Características dos Cabos MX CH'!$C$15:$J$20,3),(IF(J127="Quadruplex",VLOOKUP(M127,'Características dos Cabos MX CH'!$C$21:$K$27,3),(IF(J127="13",VLOOKUP(M127,'Características dos Cabos MX CH'!$C$15:$L$20,3),"")))))))</f>
        <v/>
      </c>
      <c r="W127" s="195" t="str">
        <f t="shared" si="30"/>
        <v/>
      </c>
      <c r="X127" s="195" t="str">
        <f t="shared" si="31"/>
        <v/>
      </c>
      <c r="Y127" s="196" t="str">
        <f t="shared" si="32"/>
        <v/>
      </c>
      <c r="AA127" s="396">
        <f t="shared" si="33"/>
        <v>0</v>
      </c>
      <c r="AB127" s="396">
        <f t="shared" si="26"/>
        <v>0</v>
      </c>
      <c r="AC127" s="395"/>
      <c r="AE127" s="357" t="str">
        <f t="shared" si="23"/>
        <v/>
      </c>
      <c r="AF127" s="426">
        <f t="shared" si="28"/>
        <v>0</v>
      </c>
    </row>
    <row r="128" spans="1:32" ht="15" customHeight="1">
      <c r="A128" s="696"/>
      <c r="B128" s="698"/>
      <c r="C128" s="568"/>
      <c r="D128" s="567"/>
      <c r="E128" s="372"/>
      <c r="F128" s="189" t="str">
        <f t="shared" si="34"/>
        <v/>
      </c>
      <c r="G128" s="384"/>
      <c r="H128" s="190" t="str">
        <f>IF(AND(E128="",G128=""),"",SUM(F128:G135))</f>
        <v/>
      </c>
      <c r="I128" s="191"/>
      <c r="J128" s="222"/>
      <c r="K128" s="222"/>
      <c r="L128" s="197" t="str">
        <f>IF(J128="Duplex",VLOOKUP(M128,'Características dos Cabos MX CH'!$C$12:$I$14,7),(IF(J128="Triplex",VLOOKUP(M128,'Características dos Cabos MX CH'!$C$15:$J$20,8),(IF(J128="Quadruplex",VLOOKUP(M128,'Características dos Cabos MX CH'!$C$21:$K$27,9),(IF(J128="13",VLOOKUP(M128,'Características dos Cabos MX CH'!$C$15:$L$20,10),"")))))))</f>
        <v/>
      </c>
      <c r="M128" s="350" t="str">
        <f t="shared" si="24"/>
        <v/>
      </c>
      <c r="N128" s="377"/>
      <c r="O128" s="192" t="str">
        <f t="shared" si="29"/>
        <v/>
      </c>
      <c r="P128" s="192" t="str">
        <f>IF(O128="","",SUM($O$126:O128)+$Z$126)</f>
        <v/>
      </c>
      <c r="Q128" s="192" t="str">
        <f t="shared" si="25"/>
        <v/>
      </c>
      <c r="R128" s="193" t="str">
        <f>IF(J128="Duplex",VLOOKUP(M128,'Características dos Cabos MX CH'!$C$12:$I$14,5),(IF(J128="Triplex",VLOOKUP(M128,'Características dos Cabos MX CH'!$C$15:$J$20,5),(IF(J128="Quadruplex",VLOOKUP(M128,'Características dos Cabos MX CH'!$C$21:$K$27,5),(IF(J128="13",VLOOKUP(M128,'Características dos Cabos MX CH'!$C$15:$L$20,5),"")))))))</f>
        <v/>
      </c>
      <c r="S128" s="193" t="str">
        <f>IF(J128="Duplex",VLOOKUP(M128,'Características dos Cabos MX CH'!$C$12:$I$14,6),(IF(J128="Triplex",VLOOKUP(M128,'Características dos Cabos MX CH'!$C$15:$J$20,6),(IF(J128="Quadruplex",VLOOKUP(M128,'Características dos Cabos MX CH'!$C$21:$K$27,6),(IF(J128="13",VLOOKUP(M128,'Características dos Cabos MX CH'!$C$15:$L$20,6),"")))))))</f>
        <v/>
      </c>
      <c r="T128" s="194" t="str">
        <f t="shared" si="27"/>
        <v/>
      </c>
      <c r="U128" s="447" t="str">
        <f>IF(J128="Duplex",VLOOKUP(M128,'Características dos Cabos MX CH'!$C$12:$I$14,2),(IF(J128="Triplex",VLOOKUP(M128,'Características dos Cabos MX CH'!$C$15:$J$20,2),(IF(J128="Quadruplex",VLOOKUP(M128,'Características dos Cabos MX CH'!$C$21:$K$27,2),(IF(J128="13",VLOOKUP(M128,'Características dos Cabos MX CH'!$C$15:$L$20,2),"")))))))</f>
        <v/>
      </c>
      <c r="V128" s="193" t="str">
        <f>IF(J128="Duplex",VLOOKUP(M128,'Características dos Cabos MX CH'!$C$12:$I$14,3),(IF(J128="Triplex",VLOOKUP(M128,'Características dos Cabos MX CH'!$C$15:$J$20,3),(IF(J128="Quadruplex",VLOOKUP(M128,'Características dos Cabos MX CH'!$C$21:$K$27,3),(IF(J128="13",VLOOKUP(M128,'Características dos Cabos MX CH'!$C$15:$L$20,3),"")))))))</f>
        <v/>
      </c>
      <c r="W128" s="195" t="str">
        <f t="shared" si="30"/>
        <v/>
      </c>
      <c r="X128" s="195" t="str">
        <f t="shared" si="31"/>
        <v/>
      </c>
      <c r="Y128" s="196" t="str">
        <f t="shared" si="32"/>
        <v/>
      </c>
      <c r="AA128" s="396">
        <f t="shared" si="33"/>
        <v>0</v>
      </c>
      <c r="AB128" s="396">
        <f t="shared" si="26"/>
        <v>0</v>
      </c>
      <c r="AC128" s="395"/>
      <c r="AE128" s="357" t="str">
        <f t="shared" si="23"/>
        <v/>
      </c>
      <c r="AF128" s="426">
        <f t="shared" si="28"/>
        <v>0</v>
      </c>
    </row>
    <row r="129" spans="1:32" ht="15" customHeight="1">
      <c r="A129" s="696"/>
      <c r="B129" s="698"/>
      <c r="C129" s="568"/>
      <c r="D129" s="567"/>
      <c r="E129" s="372"/>
      <c r="F129" s="189" t="str">
        <f t="shared" si="34"/>
        <v/>
      </c>
      <c r="G129" s="384"/>
      <c r="H129" s="190" t="str">
        <f>IF(AND(E129="",G129=""),"",SUM(F129:G135))</f>
        <v/>
      </c>
      <c r="I129" s="191"/>
      <c r="J129" s="222"/>
      <c r="K129" s="222"/>
      <c r="L129" s="197" t="str">
        <f>IF(J129="Duplex",VLOOKUP(M129,'Características dos Cabos MX CH'!$C$12:$I$14,7),(IF(J129="Triplex",VLOOKUP(M129,'Características dos Cabos MX CH'!$C$15:$J$20,8),(IF(J129="Quadruplex",VLOOKUP(M129,'Características dos Cabos MX CH'!$C$21:$K$27,9),(IF(J129="13",VLOOKUP(M129,'Características dos Cabos MX CH'!$C$15:$L$20,10),"")))))))</f>
        <v/>
      </c>
      <c r="M129" s="350" t="str">
        <f t="shared" si="24"/>
        <v/>
      </c>
      <c r="N129" s="377"/>
      <c r="O129" s="192" t="str">
        <f t="shared" si="29"/>
        <v/>
      </c>
      <c r="P129" s="192" t="str">
        <f>IF(O129="","",SUM($O$126:O129)+$Z$126)</f>
        <v/>
      </c>
      <c r="Q129" s="192" t="str">
        <f t="shared" si="25"/>
        <v/>
      </c>
      <c r="R129" s="193" t="str">
        <f>IF(J129="Duplex",VLOOKUP(M129,'Características dos Cabos MX CH'!$C$12:$I$14,5),(IF(J129="Triplex",VLOOKUP(M129,'Características dos Cabos MX CH'!$C$15:$J$20,5),(IF(J129="Quadruplex",VLOOKUP(M129,'Características dos Cabos MX CH'!$C$21:$K$27,5),(IF(J129="13",VLOOKUP(M129,'Características dos Cabos MX CH'!$C$15:$L$20,5),"")))))))</f>
        <v/>
      </c>
      <c r="S129" s="193" t="str">
        <f>IF(J129="Duplex",VLOOKUP(M129,'Características dos Cabos MX CH'!$C$12:$I$14,6),(IF(J129="Triplex",VLOOKUP(M129,'Características dos Cabos MX CH'!$C$15:$J$20,6),(IF(J129="Quadruplex",VLOOKUP(M129,'Características dos Cabos MX CH'!$C$21:$K$27,6),(IF(J129="13",VLOOKUP(M129,'Características dos Cabos MX CH'!$C$15:$L$20,6),"")))))))</f>
        <v/>
      </c>
      <c r="T129" s="194" t="str">
        <f t="shared" si="27"/>
        <v/>
      </c>
      <c r="U129" s="447" t="str">
        <f>IF(J129="Duplex",VLOOKUP(M129,'Características dos Cabos MX CH'!$C$12:$I$14,2),(IF(J129="Triplex",VLOOKUP(M129,'Características dos Cabos MX CH'!$C$15:$J$20,2),(IF(J129="Quadruplex",VLOOKUP(M129,'Características dos Cabos MX CH'!$C$21:$K$27,2),(IF(J129="13",VLOOKUP(M129,'Características dos Cabos MX CH'!$C$15:$L$20,2),"")))))))</f>
        <v/>
      </c>
      <c r="V129" s="193" t="str">
        <f>IF(J129="Duplex",VLOOKUP(M129,'Características dos Cabos MX CH'!$C$12:$I$14,3),(IF(J129="Triplex",VLOOKUP(M129,'Características dos Cabos MX CH'!$C$15:$J$20,3),(IF(J129="Quadruplex",VLOOKUP(M129,'Características dos Cabos MX CH'!$C$21:$K$27,3),(IF(J129="13",VLOOKUP(M129,'Características dos Cabos MX CH'!$C$15:$L$20,3),"")))))))</f>
        <v/>
      </c>
      <c r="W129" s="195" t="str">
        <f t="shared" si="30"/>
        <v/>
      </c>
      <c r="X129" s="195" t="str">
        <f t="shared" si="31"/>
        <v/>
      </c>
      <c r="Y129" s="196" t="str">
        <f t="shared" si="32"/>
        <v/>
      </c>
      <c r="AA129" s="396">
        <f t="shared" si="33"/>
        <v>0</v>
      </c>
      <c r="AB129" s="396">
        <f t="shared" si="26"/>
        <v>0</v>
      </c>
      <c r="AC129" s="395"/>
      <c r="AE129" s="357" t="str">
        <f t="shared" si="23"/>
        <v/>
      </c>
      <c r="AF129" s="426">
        <f t="shared" si="28"/>
        <v>0</v>
      </c>
    </row>
    <row r="130" spans="1:32" ht="15" customHeight="1">
      <c r="A130" s="696"/>
      <c r="B130" s="698"/>
      <c r="C130" s="568"/>
      <c r="D130" s="567"/>
      <c r="E130" s="372"/>
      <c r="F130" s="189" t="str">
        <f t="shared" si="34"/>
        <v/>
      </c>
      <c r="G130" s="384"/>
      <c r="H130" s="190" t="str">
        <f>IF(AND(E130="",G130=""),"",SUM(F130:G135))</f>
        <v/>
      </c>
      <c r="I130" s="191"/>
      <c r="J130" s="222"/>
      <c r="K130" s="222"/>
      <c r="L130" s="197" t="str">
        <f>IF(J130="Duplex",VLOOKUP(M130,'Características dos Cabos MX CH'!$C$12:$I$14,7),(IF(J130="Triplex",VLOOKUP(M130,'Características dos Cabos MX CH'!$C$15:$J$20,8),(IF(J130="Quadruplex",VLOOKUP(M130,'Características dos Cabos MX CH'!$C$21:$K$27,9),(IF(J130="13",VLOOKUP(M130,'Características dos Cabos MX CH'!$C$15:$L$20,10),"")))))))</f>
        <v/>
      </c>
      <c r="M130" s="350" t="str">
        <f t="shared" si="24"/>
        <v/>
      </c>
      <c r="N130" s="377"/>
      <c r="O130" s="192" t="str">
        <f t="shared" si="29"/>
        <v/>
      </c>
      <c r="P130" s="192" t="str">
        <f>IF(O130="","",SUM($O$126:O130)+$Z$126)</f>
        <v/>
      </c>
      <c r="Q130" s="192" t="str">
        <f t="shared" si="25"/>
        <v/>
      </c>
      <c r="R130" s="193" t="str">
        <f>IF(J130="Duplex",VLOOKUP(M130,'Características dos Cabos MX CH'!$C$12:$I$14,5),(IF(J130="Triplex",VLOOKUP(M130,'Características dos Cabos MX CH'!$C$15:$J$20,5),(IF(J130="Quadruplex",VLOOKUP(M130,'Características dos Cabos MX CH'!$C$21:$K$27,5),(IF(J130="13",VLOOKUP(M130,'Características dos Cabos MX CH'!$C$15:$L$20,5),"")))))))</f>
        <v/>
      </c>
      <c r="S130" s="193" t="str">
        <f>IF(J130="Duplex",VLOOKUP(M130,'Características dos Cabos MX CH'!$C$12:$I$14,6),(IF(J130="Triplex",VLOOKUP(M130,'Características dos Cabos MX CH'!$C$15:$J$20,6),(IF(J130="Quadruplex",VLOOKUP(M130,'Características dos Cabos MX CH'!$C$21:$K$27,6),(IF(J130="13",VLOOKUP(M130,'Características dos Cabos MX CH'!$C$15:$L$20,6),"")))))))</f>
        <v/>
      </c>
      <c r="T130" s="194" t="str">
        <f t="shared" si="27"/>
        <v/>
      </c>
      <c r="U130" s="447" t="str">
        <f>IF(J130="Duplex",VLOOKUP(M130,'Características dos Cabos MX CH'!$C$12:$I$14,2),(IF(J130="Triplex",VLOOKUP(M130,'Características dos Cabos MX CH'!$C$15:$J$20,2),(IF(J130="Quadruplex",VLOOKUP(M130,'Características dos Cabos MX CH'!$C$21:$K$27,2),(IF(J130="13",VLOOKUP(M130,'Características dos Cabos MX CH'!$C$15:$L$20,2),"")))))))</f>
        <v/>
      </c>
      <c r="V130" s="193" t="str">
        <f>IF(J130="Duplex",VLOOKUP(M130,'Características dos Cabos MX CH'!$C$12:$I$14,3),(IF(J130="Triplex",VLOOKUP(M130,'Características dos Cabos MX CH'!$C$15:$J$20,3),(IF(J130="Quadruplex",VLOOKUP(M130,'Características dos Cabos MX CH'!$C$21:$K$27,3),(IF(J130="13",VLOOKUP(M130,'Características dos Cabos MX CH'!$C$15:$L$20,3),"")))))))</f>
        <v/>
      </c>
      <c r="W130" s="195" t="str">
        <f t="shared" si="30"/>
        <v/>
      </c>
      <c r="X130" s="195" t="str">
        <f t="shared" si="31"/>
        <v/>
      </c>
      <c r="Y130" s="196" t="str">
        <f t="shared" si="32"/>
        <v/>
      </c>
      <c r="AA130" s="396">
        <f t="shared" si="33"/>
        <v>0</v>
      </c>
      <c r="AB130" s="396">
        <f t="shared" si="26"/>
        <v>0</v>
      </c>
      <c r="AC130" s="395"/>
      <c r="AE130" s="357" t="str">
        <f t="shared" si="23"/>
        <v/>
      </c>
      <c r="AF130" s="426">
        <f t="shared" si="28"/>
        <v>0</v>
      </c>
    </row>
    <row r="131" spans="1:32" ht="15" customHeight="1">
      <c r="A131" s="696"/>
      <c r="B131" s="698"/>
      <c r="C131" s="568"/>
      <c r="D131" s="567"/>
      <c r="E131" s="372"/>
      <c r="F131" s="189" t="str">
        <f t="shared" si="34"/>
        <v/>
      </c>
      <c r="G131" s="384"/>
      <c r="H131" s="190" t="str">
        <f>IF(AND(E131="",G131=""),"",SUM(F131:G135))</f>
        <v/>
      </c>
      <c r="I131" s="191"/>
      <c r="J131" s="222"/>
      <c r="K131" s="222"/>
      <c r="L131" s="197" t="str">
        <f>IF(J131="Duplex",VLOOKUP(M131,'Características dos Cabos MX CH'!$C$12:$I$14,7),(IF(J131="Triplex",VLOOKUP(M131,'Características dos Cabos MX CH'!$C$15:$J$20,8),(IF(J131="Quadruplex",VLOOKUP(M131,'Características dos Cabos MX CH'!$C$21:$K$27,9),(IF(J131="13",VLOOKUP(M131,'Características dos Cabos MX CH'!$C$15:$L$20,10),"")))))))</f>
        <v/>
      </c>
      <c r="M131" s="350" t="str">
        <f t="shared" si="24"/>
        <v/>
      </c>
      <c r="N131" s="377"/>
      <c r="O131" s="192" t="str">
        <f t="shared" si="29"/>
        <v/>
      </c>
      <c r="P131" s="192" t="str">
        <f>IF(O131="","",SUM($O$126:O131)+$Z$126)</f>
        <v/>
      </c>
      <c r="Q131" s="192" t="str">
        <f t="shared" si="25"/>
        <v/>
      </c>
      <c r="R131" s="193" t="str">
        <f>IF(J131="Duplex",VLOOKUP(M131,'Características dos Cabos MX CH'!$C$12:$I$14,5),(IF(J131="Triplex",VLOOKUP(M131,'Características dos Cabos MX CH'!$C$15:$J$20,5),(IF(J131="Quadruplex",VLOOKUP(M131,'Características dos Cabos MX CH'!$C$21:$K$27,5),(IF(J131="13",VLOOKUP(M131,'Características dos Cabos MX CH'!$C$15:$L$20,5),"")))))))</f>
        <v/>
      </c>
      <c r="S131" s="193" t="str">
        <f>IF(J131="Duplex",VLOOKUP(M131,'Características dos Cabos MX CH'!$C$12:$I$14,6),(IF(J131="Triplex",VLOOKUP(M131,'Características dos Cabos MX CH'!$C$15:$J$20,6),(IF(J131="Quadruplex",VLOOKUP(M131,'Características dos Cabos MX CH'!$C$21:$K$27,6),(IF(J131="13",VLOOKUP(M131,'Características dos Cabos MX CH'!$C$15:$L$20,6),"")))))))</f>
        <v/>
      </c>
      <c r="T131" s="194" t="str">
        <f t="shared" si="27"/>
        <v/>
      </c>
      <c r="U131" s="447" t="str">
        <f>IF(J131="Duplex",VLOOKUP(M131,'Características dos Cabos MX CH'!$C$12:$I$14,2),(IF(J131="Triplex",VLOOKUP(M131,'Características dos Cabos MX CH'!$C$15:$J$20,2),(IF(J131="Quadruplex",VLOOKUP(M131,'Características dos Cabos MX CH'!$C$21:$K$27,2),(IF(J131="13",VLOOKUP(M131,'Características dos Cabos MX CH'!$C$15:$L$20,2),"")))))))</f>
        <v/>
      </c>
      <c r="V131" s="193" t="str">
        <f>IF(J131="Duplex",VLOOKUP(M131,'Características dos Cabos MX CH'!$C$12:$I$14,3),(IF(J131="Triplex",VLOOKUP(M131,'Características dos Cabos MX CH'!$C$15:$J$20,3),(IF(J131="Quadruplex",VLOOKUP(M131,'Características dos Cabos MX CH'!$C$21:$K$27,3),(IF(J131="13",VLOOKUP(M131,'Características dos Cabos MX CH'!$C$15:$L$20,3),"")))))))</f>
        <v/>
      </c>
      <c r="W131" s="195" t="str">
        <f t="shared" si="30"/>
        <v/>
      </c>
      <c r="X131" s="195" t="str">
        <f t="shared" si="31"/>
        <v/>
      </c>
      <c r="Y131" s="196" t="str">
        <f t="shared" si="32"/>
        <v/>
      </c>
      <c r="AA131" s="396">
        <f t="shared" si="33"/>
        <v>0</v>
      </c>
      <c r="AB131" s="396">
        <f t="shared" si="26"/>
        <v>0</v>
      </c>
      <c r="AC131" s="395"/>
      <c r="AE131" s="357" t="str">
        <f t="shared" si="23"/>
        <v/>
      </c>
      <c r="AF131" s="426">
        <f t="shared" si="28"/>
        <v>0</v>
      </c>
    </row>
    <row r="132" spans="1:32" ht="15" customHeight="1">
      <c r="A132" s="696"/>
      <c r="B132" s="698"/>
      <c r="C132" s="568"/>
      <c r="D132" s="567"/>
      <c r="E132" s="372"/>
      <c r="F132" s="189" t="str">
        <f t="shared" si="34"/>
        <v/>
      </c>
      <c r="G132" s="384"/>
      <c r="H132" s="190" t="str">
        <f>IF(AND(E132="",G132=""),"",SUM(F132:G135))</f>
        <v/>
      </c>
      <c r="I132" s="191"/>
      <c r="J132" s="222"/>
      <c r="K132" s="222"/>
      <c r="L132" s="197" t="str">
        <f>IF(J132="Duplex",VLOOKUP(M132,'Características dos Cabos MX CH'!$C$12:$I$14,7),(IF(J132="Triplex",VLOOKUP(M132,'Características dos Cabos MX CH'!$C$15:$J$20,8),(IF(J132="Quadruplex",VLOOKUP(M132,'Características dos Cabos MX CH'!$C$21:$K$27,9),(IF(J132="13",VLOOKUP(M132,'Características dos Cabos MX CH'!$C$15:$L$20,10),"")))))))</f>
        <v/>
      </c>
      <c r="M132" s="350" t="str">
        <f t="shared" si="24"/>
        <v/>
      </c>
      <c r="N132" s="377"/>
      <c r="O132" s="192" t="str">
        <f t="shared" si="29"/>
        <v/>
      </c>
      <c r="P132" s="192" t="str">
        <f>IF(O132="","",SUM($O$126:O132)+$Z$126)</f>
        <v/>
      </c>
      <c r="Q132" s="192" t="str">
        <f t="shared" si="25"/>
        <v/>
      </c>
      <c r="R132" s="193" t="str">
        <f>IF(J132="Duplex",VLOOKUP(M132,'Características dos Cabos MX CH'!$C$12:$I$14,5),(IF(J132="Triplex",VLOOKUP(M132,'Características dos Cabos MX CH'!$C$15:$J$20,5),(IF(J132="Quadruplex",VLOOKUP(M132,'Características dos Cabos MX CH'!$C$21:$K$27,5),(IF(J132="13",VLOOKUP(M132,'Características dos Cabos MX CH'!$C$15:$L$20,5),"")))))))</f>
        <v/>
      </c>
      <c r="S132" s="193" t="str">
        <f>IF(J132="Duplex",VLOOKUP(M132,'Características dos Cabos MX CH'!$C$12:$I$14,6),(IF(J132="Triplex",VLOOKUP(M132,'Características dos Cabos MX CH'!$C$15:$J$20,6),(IF(J132="Quadruplex",VLOOKUP(M132,'Características dos Cabos MX CH'!$C$21:$K$27,6),(IF(J132="13",VLOOKUP(M132,'Características dos Cabos MX CH'!$C$15:$L$20,6),"")))))))</f>
        <v/>
      </c>
      <c r="T132" s="194" t="str">
        <f t="shared" si="27"/>
        <v/>
      </c>
      <c r="U132" s="447" t="str">
        <f>IF(J132="Duplex",VLOOKUP(M132,'Características dos Cabos MX CH'!$C$12:$I$14,2),(IF(J132="Triplex",VLOOKUP(M132,'Características dos Cabos MX CH'!$C$15:$J$20,2),(IF(J132="Quadruplex",VLOOKUP(M132,'Características dos Cabos MX CH'!$C$21:$K$27,2),(IF(J132="13",VLOOKUP(M132,'Características dos Cabos MX CH'!$C$15:$L$20,2),"")))))))</f>
        <v/>
      </c>
      <c r="V132" s="193" t="str">
        <f>IF(J132="Duplex",VLOOKUP(M132,'Características dos Cabos MX CH'!$C$12:$I$14,3),(IF(J132="Triplex",VLOOKUP(M132,'Características dos Cabos MX CH'!$C$15:$J$20,3),(IF(J132="Quadruplex",VLOOKUP(M132,'Características dos Cabos MX CH'!$C$21:$K$27,3),(IF(J132="13",VLOOKUP(M132,'Características dos Cabos MX CH'!$C$15:$L$20,3),"")))))))</f>
        <v/>
      </c>
      <c r="W132" s="195" t="str">
        <f t="shared" si="30"/>
        <v/>
      </c>
      <c r="X132" s="195" t="str">
        <f t="shared" si="31"/>
        <v/>
      </c>
      <c r="Y132" s="196" t="str">
        <f t="shared" si="32"/>
        <v/>
      </c>
      <c r="AA132" s="396">
        <f t="shared" si="33"/>
        <v>0</v>
      </c>
      <c r="AB132" s="396">
        <f t="shared" si="26"/>
        <v>0</v>
      </c>
      <c r="AC132" s="395"/>
      <c r="AE132" s="357" t="str">
        <f t="shared" si="23"/>
        <v/>
      </c>
      <c r="AF132" s="426">
        <f t="shared" si="28"/>
        <v>0</v>
      </c>
    </row>
    <row r="133" spans="1:32" ht="15" customHeight="1">
      <c r="A133" s="696"/>
      <c r="B133" s="698"/>
      <c r="C133" s="568"/>
      <c r="D133" s="368"/>
      <c r="E133" s="372"/>
      <c r="F133" s="189" t="str">
        <f t="shared" si="34"/>
        <v/>
      </c>
      <c r="G133" s="384"/>
      <c r="H133" s="190" t="str">
        <f>IF(AND(E133="",G133=""),"",SUM(F133:G135))</f>
        <v/>
      </c>
      <c r="I133" s="191"/>
      <c r="J133" s="222"/>
      <c r="K133" s="222"/>
      <c r="L133" s="197" t="str">
        <f>IF(J133="Duplex",VLOOKUP(M133,'Características dos Cabos MX CH'!$C$12:$I$14,7),(IF(J133="Triplex",VLOOKUP(M133,'Características dos Cabos MX CH'!$C$15:$J$20,8),(IF(J133="Quadruplex",VLOOKUP(M133,'Características dos Cabos MX CH'!$C$21:$K$27,9),(IF(J133="13",VLOOKUP(M133,'Características dos Cabos MX CH'!$C$15:$L$20,10),"")))))))</f>
        <v/>
      </c>
      <c r="M133" s="350" t="str">
        <f t="shared" si="24"/>
        <v/>
      </c>
      <c r="N133" s="377"/>
      <c r="O133" s="192" t="str">
        <f t="shared" si="29"/>
        <v/>
      </c>
      <c r="P133" s="192" t="str">
        <f>IF(O133="","",SUM($O$126:O133)+$Z$126)</f>
        <v/>
      </c>
      <c r="Q133" s="192" t="str">
        <f t="shared" si="25"/>
        <v/>
      </c>
      <c r="R133" s="193" t="str">
        <f>IF(J133="Duplex",VLOOKUP(M133,'Características dos Cabos MX CH'!$C$12:$I$14,5),(IF(J133="Triplex",VLOOKUP(M133,'Características dos Cabos MX CH'!$C$15:$J$20,5),(IF(J133="Quadruplex",VLOOKUP(M133,'Características dos Cabos MX CH'!$C$21:$K$27,5),(IF(J133="13",VLOOKUP(M133,'Características dos Cabos MX CH'!$C$15:$L$20,5),"")))))))</f>
        <v/>
      </c>
      <c r="S133" s="193" t="str">
        <f>IF(J133="Duplex",VLOOKUP(M133,'Características dos Cabos MX CH'!$C$12:$I$14,6),(IF(J133="Triplex",VLOOKUP(M133,'Características dos Cabos MX CH'!$C$15:$J$20,6),(IF(J133="Quadruplex",VLOOKUP(M133,'Características dos Cabos MX CH'!$C$21:$K$27,6),(IF(J133="13",VLOOKUP(M133,'Características dos Cabos MX CH'!$C$15:$L$20,6),"")))))))</f>
        <v/>
      </c>
      <c r="T133" s="194" t="str">
        <f t="shared" si="27"/>
        <v/>
      </c>
      <c r="U133" s="447" t="str">
        <f>IF(J133="Duplex",VLOOKUP(M133,'Características dos Cabos MX CH'!$C$12:$I$14,2),(IF(J133="Triplex",VLOOKUP(M133,'Características dos Cabos MX CH'!$C$15:$J$20,2),(IF(J133="Quadruplex",VLOOKUP(M133,'Características dos Cabos MX CH'!$C$21:$K$27,2),(IF(J133="13",VLOOKUP(M133,'Características dos Cabos MX CH'!$C$15:$L$20,2),"")))))))</f>
        <v/>
      </c>
      <c r="V133" s="193" t="str">
        <f>IF(J133="Duplex",VLOOKUP(M133,'Características dos Cabos MX CH'!$C$12:$I$14,3),(IF(J133="Triplex",VLOOKUP(M133,'Características dos Cabos MX CH'!$C$15:$J$20,3),(IF(J133="Quadruplex",VLOOKUP(M133,'Características dos Cabos MX CH'!$C$21:$K$27,3),(IF(J133="13",VLOOKUP(M133,'Características dos Cabos MX CH'!$C$15:$L$20,3),"")))))))</f>
        <v/>
      </c>
      <c r="W133" s="195" t="str">
        <f t="shared" si="30"/>
        <v/>
      </c>
      <c r="X133" s="195" t="str">
        <f t="shared" si="31"/>
        <v/>
      </c>
      <c r="Y133" s="196" t="str">
        <f t="shared" si="32"/>
        <v/>
      </c>
      <c r="AA133" s="396">
        <f t="shared" si="33"/>
        <v>0</v>
      </c>
      <c r="AB133" s="396">
        <f t="shared" si="26"/>
        <v>0</v>
      </c>
      <c r="AC133" s="395"/>
      <c r="AE133" s="357" t="str">
        <f t="shared" si="23"/>
        <v/>
      </c>
      <c r="AF133" s="426">
        <f t="shared" si="28"/>
        <v>0</v>
      </c>
    </row>
    <row r="134" spans="1:32" ht="15" customHeight="1">
      <c r="A134" s="696"/>
      <c r="B134" s="698"/>
      <c r="C134" s="568"/>
      <c r="D134" s="368"/>
      <c r="E134" s="372"/>
      <c r="F134" s="189" t="str">
        <f t="shared" si="34"/>
        <v/>
      </c>
      <c r="G134" s="384"/>
      <c r="H134" s="190" t="str">
        <f>IF(AND(E134="",G134=""),"",SUM(F134:G135))</f>
        <v/>
      </c>
      <c r="I134" s="191"/>
      <c r="J134" s="222"/>
      <c r="K134" s="222"/>
      <c r="L134" s="197" t="str">
        <f>IF(J134="Duplex",VLOOKUP(M134,'Características dos Cabos MX CH'!$C$12:$I$14,7),(IF(J134="Triplex",VLOOKUP(M134,'Características dos Cabos MX CH'!$C$15:$J$20,8),(IF(J134="Quadruplex",VLOOKUP(M134,'Características dos Cabos MX CH'!$C$21:$K$27,9),(IF(J134="13",VLOOKUP(M134,'Características dos Cabos MX CH'!$C$15:$L$20,10),"")))))))</f>
        <v/>
      </c>
      <c r="M134" s="350" t="str">
        <f t="shared" si="24"/>
        <v/>
      </c>
      <c r="N134" s="377"/>
      <c r="O134" s="192" t="str">
        <f t="shared" si="29"/>
        <v/>
      </c>
      <c r="P134" s="192" t="str">
        <f>IF(O134="","",SUM($O$126:O134)+$Z$126)</f>
        <v/>
      </c>
      <c r="Q134" s="192" t="str">
        <f t="shared" si="25"/>
        <v/>
      </c>
      <c r="R134" s="193" t="str">
        <f>IF(J134="Duplex",VLOOKUP(M134,'Características dos Cabos MX CH'!$C$12:$I$14,5),(IF(J134="Triplex",VLOOKUP(M134,'Características dos Cabos MX CH'!$C$15:$J$20,5),(IF(J134="Quadruplex",VLOOKUP(M134,'Características dos Cabos MX CH'!$C$21:$K$27,5),(IF(J134="13",VLOOKUP(M134,'Características dos Cabos MX CH'!$C$15:$L$20,5),"")))))))</f>
        <v/>
      </c>
      <c r="S134" s="193" t="str">
        <f>IF(J134="Duplex",VLOOKUP(M134,'Características dos Cabos MX CH'!$C$12:$I$14,6),(IF(J134="Triplex",VLOOKUP(M134,'Características dos Cabos MX CH'!$C$15:$J$20,6),(IF(J134="Quadruplex",VLOOKUP(M134,'Características dos Cabos MX CH'!$C$21:$K$27,6),(IF(J134="13",VLOOKUP(M134,'Características dos Cabos MX CH'!$C$15:$L$20,6),"")))))))</f>
        <v/>
      </c>
      <c r="T134" s="194" t="str">
        <f t="shared" si="27"/>
        <v/>
      </c>
      <c r="U134" s="447" t="str">
        <f>IF(J134="Duplex",VLOOKUP(M134,'Características dos Cabos MX CH'!$C$12:$I$14,2),(IF(J134="Triplex",VLOOKUP(M134,'Características dos Cabos MX CH'!$C$15:$J$20,2),(IF(J134="Quadruplex",VLOOKUP(M134,'Características dos Cabos MX CH'!$C$21:$K$27,2),(IF(J134="13",VLOOKUP(M134,'Características dos Cabos MX CH'!$C$15:$L$20,2),"")))))))</f>
        <v/>
      </c>
      <c r="V134" s="193" t="str">
        <f>IF(J134="Duplex",VLOOKUP(M134,'Características dos Cabos MX CH'!$C$12:$I$14,3),(IF(J134="Triplex",VLOOKUP(M134,'Características dos Cabos MX CH'!$C$15:$J$20,3),(IF(J134="Quadruplex",VLOOKUP(M134,'Características dos Cabos MX CH'!$C$21:$K$27,3),(IF(J134="13",VLOOKUP(M134,'Características dos Cabos MX CH'!$C$15:$L$20,3),"")))))))</f>
        <v/>
      </c>
      <c r="W134" s="195" t="str">
        <f t="shared" si="30"/>
        <v/>
      </c>
      <c r="X134" s="195" t="str">
        <f t="shared" si="31"/>
        <v/>
      </c>
      <c r="Y134" s="196" t="str">
        <f t="shared" si="32"/>
        <v/>
      </c>
      <c r="AA134" s="396">
        <f t="shared" si="33"/>
        <v>0</v>
      </c>
      <c r="AB134" s="396">
        <f t="shared" si="26"/>
        <v>0</v>
      </c>
      <c r="AC134" s="395"/>
      <c r="AE134" s="357" t="str">
        <f t="shared" si="23"/>
        <v/>
      </c>
      <c r="AF134" s="426">
        <f t="shared" si="28"/>
        <v>0</v>
      </c>
    </row>
    <row r="135" spans="1:32" ht="15" customHeight="1" thickBot="1">
      <c r="A135" s="696"/>
      <c r="B135" s="699"/>
      <c r="C135" s="568"/>
      <c r="D135" s="370"/>
      <c r="E135" s="369"/>
      <c r="F135" s="199" t="str">
        <f t="shared" si="34"/>
        <v/>
      </c>
      <c r="G135" s="385"/>
      <c r="H135" s="200" t="str">
        <f>IF(AND(E135="",G135=""),"",SUM(F135:G135))</f>
        <v/>
      </c>
      <c r="I135" s="201"/>
      <c r="J135" s="223"/>
      <c r="K135" s="223"/>
      <c r="L135" s="202" t="str">
        <f>IF(J135="Duplex",VLOOKUP(M135,'Características dos Cabos MX CH'!$C$12:$I$14,7),(IF(J135="Triplex",VLOOKUP(M135,'Características dos Cabos MX CH'!$C$15:$J$20,8),(IF(J135="Quadruplex",VLOOKUP(M135,'Características dos Cabos MX CH'!$C$21:$K$27,9),(IF(J135="13",VLOOKUP(M135,'Características dos Cabos MX CH'!$C$15:$L$20,10),"")))))))</f>
        <v/>
      </c>
      <c r="M135" s="353" t="str">
        <f t="shared" si="24"/>
        <v/>
      </c>
      <c r="N135" s="378"/>
      <c r="O135" s="203" t="str">
        <f t="shared" si="29"/>
        <v/>
      </c>
      <c r="P135" s="192" t="str">
        <f>IF(O135="","",SUM($O$126:O135)+$Z$126)</f>
        <v/>
      </c>
      <c r="Q135" s="203" t="str">
        <f t="shared" si="25"/>
        <v/>
      </c>
      <c r="R135" s="204" t="str">
        <f>IF(J135="Duplex",VLOOKUP(M135,'Características dos Cabos MX CH'!$C$12:$I$14,5),(IF(J135="Triplex",VLOOKUP(M135,'Características dos Cabos MX CH'!$C$15:$J$20,5),(IF(J135="Quadruplex",VLOOKUP(M135,'Características dos Cabos MX CH'!$C$21:$K$27,5),(IF(J135="13",VLOOKUP(M135,'Características dos Cabos MX CH'!$C$15:$L$20,5),"")))))))</f>
        <v/>
      </c>
      <c r="S135" s="204" t="str">
        <f>IF(J135="Duplex",VLOOKUP(M135,'Características dos Cabos MX CH'!$C$12:$I$14,6),(IF(J135="Triplex",VLOOKUP(M135,'Características dos Cabos MX CH'!$C$15:$J$20,6),(IF(J135="Quadruplex",VLOOKUP(M135,'Características dos Cabos MX CH'!$C$21:$K$27,6),(IF(J135="13",VLOOKUP(M135,'Características dos Cabos MX CH'!$C$15:$L$20,6),"")))))))</f>
        <v/>
      </c>
      <c r="T135" s="205" t="str">
        <f t="shared" si="27"/>
        <v/>
      </c>
      <c r="U135" s="448" t="str">
        <f>IF(J135="Duplex",VLOOKUP(M135,'Características dos Cabos MX CH'!$C$12:$I$14,2),(IF(J135="Triplex",VLOOKUP(M135,'Características dos Cabos MX CH'!$C$15:$J$20,2),(IF(J135="Quadruplex",VLOOKUP(M135,'Características dos Cabos MX CH'!$C$21:$K$27,2),(IF(J135="13",VLOOKUP(M135,'Características dos Cabos MX CH'!$C$15:$L$20,2),"")))))))</f>
        <v/>
      </c>
      <c r="V135" s="204" t="str">
        <f>IF(J135="Duplex",VLOOKUP(M135,'Características dos Cabos MX CH'!$C$12:$I$14,3),(IF(J135="Triplex",VLOOKUP(M135,'Características dos Cabos MX CH'!$C$15:$J$20,3),(IF(J135="Quadruplex",VLOOKUP(M135,'Características dos Cabos MX CH'!$C$21:$K$27,3),(IF(J135="13",VLOOKUP(M135,'Características dos Cabos MX CH'!$C$15:$L$20,3),"")))))))</f>
        <v/>
      </c>
      <c r="W135" s="206" t="str">
        <f t="shared" si="30"/>
        <v/>
      </c>
      <c r="X135" s="206" t="str">
        <f t="shared" si="31"/>
        <v/>
      </c>
      <c r="Y135" s="207" t="str">
        <f t="shared" si="32"/>
        <v/>
      </c>
      <c r="AA135" s="396">
        <f t="shared" si="33"/>
        <v>0</v>
      </c>
      <c r="AB135" s="396">
        <f t="shared" si="26"/>
        <v>0</v>
      </c>
      <c r="AC135" s="395"/>
      <c r="AE135" s="357" t="str">
        <f t="shared" si="23"/>
        <v/>
      </c>
      <c r="AF135" s="426">
        <f t="shared" si="28"/>
        <v>0</v>
      </c>
    </row>
    <row r="136" spans="1:32" ht="15" customHeight="1" thickTop="1">
      <c r="A136" s="696"/>
      <c r="B136" s="700" t="str">
        <f>CONCATENATE("Ramal 10 - Derivando no ponto ",C136)</f>
        <v xml:space="preserve">Ramal 10 - Derivando no ponto </v>
      </c>
      <c r="C136" s="572"/>
      <c r="D136" s="573"/>
      <c r="E136" s="374"/>
      <c r="F136" s="208" t="str">
        <f t="shared" si="34"/>
        <v/>
      </c>
      <c r="G136" s="386"/>
      <c r="H136" s="209" t="str">
        <f>IF(AND(E136="",G136=""),"",SUM(F136:G145))</f>
        <v/>
      </c>
      <c r="I136" s="210"/>
      <c r="J136" s="224"/>
      <c r="K136" s="224"/>
      <c r="L136" s="211" t="str">
        <f>IF(J136="Duplex",VLOOKUP(M136,'Características dos Cabos MX CH'!$C$12:$I$14,7),(IF(J136="Triplex",VLOOKUP(M136,'Características dos Cabos MX CH'!$C$15:$J$20,8),(IF(J136="Quadruplex",VLOOKUP(M136,'Características dos Cabos MX CH'!$C$21:$K$27,9),(IF(J136="13",VLOOKUP(M136,'Características dos Cabos MX CH'!$C$15:$L$20,10),"")))))))</f>
        <v/>
      </c>
      <c r="M136" s="354" t="str">
        <f t="shared" si="24"/>
        <v/>
      </c>
      <c r="N136" s="379"/>
      <c r="O136" s="212" t="str">
        <f t="shared" si="29"/>
        <v/>
      </c>
      <c r="P136" s="217" t="str">
        <f>IF(O136="","",O136+VLOOKUP(C136,$D$20:$Q$135,13,FALSE))</f>
        <v/>
      </c>
      <c r="Q136" s="212" t="str">
        <f t="shared" si="25"/>
        <v/>
      </c>
      <c r="R136" s="213" t="str">
        <f>IF(J136="Duplex",VLOOKUP(M136,'Características dos Cabos MX CH'!$C$12:$I$14,5),(IF(J136="Triplex",VLOOKUP(M136,'Características dos Cabos MX CH'!$C$15:$J$20,5),(IF(J136="Quadruplex",VLOOKUP(M136,'Características dos Cabos MX CH'!$C$21:$K$27,5),(IF(J136="13",VLOOKUP(M136,'Características dos Cabos MX CH'!$C$15:$L$20,5),"")))))))</f>
        <v/>
      </c>
      <c r="S136" s="213" t="str">
        <f>IF(J136="Duplex",VLOOKUP(M136,'Características dos Cabos MX CH'!$C$12:$I$14,6),(IF(J136="Triplex",VLOOKUP(M136,'Características dos Cabos MX CH'!$C$15:$J$20,6),(IF(J136="Quadruplex",VLOOKUP(M136,'Características dos Cabos MX CH'!$C$21:$K$27,6),(IF(J136="13",VLOOKUP(M136,'Características dos Cabos MX CH'!$C$15:$L$20,6),"")))))))</f>
        <v/>
      </c>
      <c r="T136" s="214" t="str">
        <f t="shared" si="27"/>
        <v/>
      </c>
      <c r="U136" s="450" t="str">
        <f>IF(J136="Duplex",VLOOKUP(M136,'Características dos Cabos MX CH'!$C$12:$I$14,2),(IF(J136="Triplex",VLOOKUP(M136,'Características dos Cabos MX CH'!$C$15:$J$20,2),(IF(J136="Quadruplex",VLOOKUP(M136,'Características dos Cabos MX CH'!$C$21:$K$27,2),(IF(J136="13",VLOOKUP(M136,'Características dos Cabos MX CH'!$C$15:$L$20,2),"")))))))</f>
        <v/>
      </c>
      <c r="V136" s="213" t="str">
        <f>IF(J136="Duplex",VLOOKUP(M136,'Características dos Cabos MX CH'!$C$12:$I$14,3),(IF(J136="Triplex",VLOOKUP(M136,'Características dos Cabos MX CH'!$C$15:$J$20,3),(IF(J136="Quadruplex",VLOOKUP(M136,'Características dos Cabos MX CH'!$C$21:$K$27,3),(IF(J136="13",VLOOKUP(M136,'Características dos Cabos MX CH'!$C$15:$L$20,3),"")))))))</f>
        <v/>
      </c>
      <c r="W136" s="215" t="str">
        <f t="shared" si="30"/>
        <v/>
      </c>
      <c r="X136" s="215" t="str">
        <f t="shared" si="31"/>
        <v/>
      </c>
      <c r="Y136" s="216" t="str">
        <f t="shared" si="32"/>
        <v/>
      </c>
      <c r="Z136" s="393" t="str">
        <f>IF(O136="","",VLOOKUP(C136,$D$20:$P$135,13,FALSE))</f>
        <v/>
      </c>
      <c r="AA136" s="396">
        <f t="shared" si="33"/>
        <v>0</v>
      </c>
      <c r="AB136" s="396">
        <f t="shared" si="26"/>
        <v>0</v>
      </c>
      <c r="AC136" s="395"/>
      <c r="AE136" s="357" t="str">
        <f t="shared" si="23"/>
        <v/>
      </c>
      <c r="AF136" s="426">
        <f t="shared" si="28"/>
        <v>0</v>
      </c>
    </row>
    <row r="137" spans="1:32" ht="15" customHeight="1">
      <c r="A137" s="696"/>
      <c r="B137" s="698"/>
      <c r="C137" s="562"/>
      <c r="D137" s="567"/>
      <c r="E137" s="372"/>
      <c r="F137" s="189" t="str">
        <f t="shared" si="34"/>
        <v/>
      </c>
      <c r="G137" s="384"/>
      <c r="H137" s="190" t="str">
        <f>IF(AND(E137="",G137=""),"",SUM(F137:G145))</f>
        <v/>
      </c>
      <c r="I137" s="191"/>
      <c r="J137" s="222"/>
      <c r="K137" s="222"/>
      <c r="L137" s="197" t="str">
        <f>IF(J137="Duplex",VLOOKUP(M137,'Características dos Cabos MX CH'!$C$12:$I$14,7),(IF(J137="Triplex",VLOOKUP(M137,'Características dos Cabos MX CH'!$C$15:$J$20,8),(IF(J137="Quadruplex",VLOOKUP(M137,'Características dos Cabos MX CH'!$C$21:$K$27,9),(IF(J137="13",VLOOKUP(M137,'Características dos Cabos MX CH'!$C$15:$L$20,10),"")))))))</f>
        <v/>
      </c>
      <c r="M137" s="350" t="str">
        <f t="shared" si="24"/>
        <v/>
      </c>
      <c r="N137" s="377"/>
      <c r="O137" s="192" t="str">
        <f t="shared" si="29"/>
        <v/>
      </c>
      <c r="P137" s="192" t="str">
        <f>IF(O137="","",SUM($O$136:O137)+$Z$136)</f>
        <v/>
      </c>
      <c r="Q137" s="192" t="str">
        <f t="shared" si="25"/>
        <v/>
      </c>
      <c r="R137" s="193" t="str">
        <f>IF(J137="Duplex",VLOOKUP(M137,'Características dos Cabos MX CH'!$C$12:$I$14,5),(IF(J137="Triplex",VLOOKUP(M137,'Características dos Cabos MX CH'!$C$15:$J$20,5),(IF(J137="Quadruplex",VLOOKUP(M137,'Características dos Cabos MX CH'!$C$21:$K$27,5),(IF(J137="13",VLOOKUP(M137,'Características dos Cabos MX CH'!$C$15:$L$20,5),"")))))))</f>
        <v/>
      </c>
      <c r="S137" s="193" t="str">
        <f>IF(J137="Duplex",VLOOKUP(M137,'Características dos Cabos MX CH'!$C$12:$I$14,6),(IF(J137="Triplex",VLOOKUP(M137,'Características dos Cabos MX CH'!$C$15:$J$20,6),(IF(J137="Quadruplex",VLOOKUP(M137,'Características dos Cabos MX CH'!$C$21:$K$27,6),(IF(J137="13",VLOOKUP(M137,'Características dos Cabos MX CH'!$C$15:$L$20,6),"")))))))</f>
        <v/>
      </c>
      <c r="T137" s="194" t="str">
        <f t="shared" si="27"/>
        <v/>
      </c>
      <c r="U137" s="447" t="str">
        <f>IF(J137="Duplex",VLOOKUP(M137,'Características dos Cabos MX CH'!$C$12:$I$14,2),(IF(J137="Triplex",VLOOKUP(M137,'Características dos Cabos MX CH'!$C$15:$J$20,2),(IF(J137="Quadruplex",VLOOKUP(M137,'Características dos Cabos MX CH'!$C$21:$K$27,2),(IF(J137="13",VLOOKUP(M137,'Características dos Cabos MX CH'!$C$15:$L$20,2),"")))))))</f>
        <v/>
      </c>
      <c r="V137" s="193" t="str">
        <f>IF(J137="Duplex",VLOOKUP(M137,'Características dos Cabos MX CH'!$C$12:$I$14,3),(IF(J137="Triplex",VLOOKUP(M137,'Características dos Cabos MX CH'!$C$15:$J$20,3),(IF(J137="Quadruplex",VLOOKUP(M137,'Características dos Cabos MX CH'!$C$21:$K$27,3),(IF(J137="13",VLOOKUP(M137,'Características dos Cabos MX CH'!$C$15:$L$20,3),"")))))))</f>
        <v/>
      </c>
      <c r="W137" s="195" t="str">
        <f t="shared" si="30"/>
        <v/>
      </c>
      <c r="X137" s="195" t="str">
        <f t="shared" si="31"/>
        <v/>
      </c>
      <c r="Y137" s="196" t="str">
        <f t="shared" si="32"/>
        <v/>
      </c>
      <c r="AA137" s="396">
        <f t="shared" si="33"/>
        <v>0</v>
      </c>
      <c r="AB137" s="396">
        <f t="shared" si="26"/>
        <v>0</v>
      </c>
      <c r="AC137" s="395"/>
      <c r="AE137" s="357" t="str">
        <f t="shared" si="23"/>
        <v/>
      </c>
      <c r="AF137" s="426">
        <f t="shared" si="28"/>
        <v>0</v>
      </c>
    </row>
    <row r="138" spans="1:32" ht="15" customHeight="1">
      <c r="A138" s="696"/>
      <c r="B138" s="698"/>
      <c r="C138" s="568"/>
      <c r="D138" s="567"/>
      <c r="E138" s="372"/>
      <c r="F138" s="189" t="str">
        <f t="shared" si="34"/>
        <v/>
      </c>
      <c r="G138" s="384"/>
      <c r="H138" s="190" t="str">
        <f>IF(AND(E138="",G138=""),"",SUM(F138:G145))</f>
        <v/>
      </c>
      <c r="I138" s="191"/>
      <c r="J138" s="222"/>
      <c r="K138" s="222"/>
      <c r="L138" s="197" t="str">
        <f>IF(J138="Duplex",VLOOKUP(M138,'Características dos Cabos MX CH'!$C$12:$I$14,7),(IF(J138="Triplex",VLOOKUP(M138,'Características dos Cabos MX CH'!$C$15:$J$20,8),(IF(J138="Quadruplex",VLOOKUP(M138,'Características dos Cabos MX CH'!$C$21:$K$27,9),(IF(J138="13",VLOOKUP(M138,'Características dos Cabos MX CH'!$C$15:$L$20,10),"")))))))</f>
        <v/>
      </c>
      <c r="M138" s="350" t="str">
        <f t="shared" si="24"/>
        <v/>
      </c>
      <c r="N138" s="377"/>
      <c r="O138" s="192" t="str">
        <f t="shared" si="29"/>
        <v/>
      </c>
      <c r="P138" s="192" t="str">
        <f>IF(O138="","",SUM($O$136:O138)+$Z$136)</f>
        <v/>
      </c>
      <c r="Q138" s="192" t="str">
        <f t="shared" si="25"/>
        <v/>
      </c>
      <c r="R138" s="193" t="str">
        <f>IF(J138="Duplex",VLOOKUP(M138,'Características dos Cabos MX CH'!$C$12:$I$14,5),(IF(J138="Triplex",VLOOKUP(M138,'Características dos Cabos MX CH'!$C$15:$J$20,5),(IF(J138="Quadruplex",VLOOKUP(M138,'Características dos Cabos MX CH'!$C$21:$K$27,5),(IF(J138="13",VLOOKUP(M138,'Características dos Cabos MX CH'!$C$15:$L$20,5),"")))))))</f>
        <v/>
      </c>
      <c r="S138" s="193" t="str">
        <f>IF(J138="Duplex",VLOOKUP(M138,'Características dos Cabos MX CH'!$C$12:$I$14,6),(IF(J138="Triplex",VLOOKUP(M138,'Características dos Cabos MX CH'!$C$15:$J$20,6),(IF(J138="Quadruplex",VLOOKUP(M138,'Características dos Cabos MX CH'!$C$21:$K$27,6),(IF(J138="13",VLOOKUP(M138,'Características dos Cabos MX CH'!$C$15:$L$20,6),"")))))))</f>
        <v/>
      </c>
      <c r="T138" s="194" t="str">
        <f t="shared" si="27"/>
        <v/>
      </c>
      <c r="U138" s="447" t="str">
        <f>IF(J138="Duplex",VLOOKUP(M138,'Características dos Cabos MX CH'!$C$12:$I$14,2),(IF(J138="Triplex",VLOOKUP(M138,'Características dos Cabos MX CH'!$C$15:$J$20,2),(IF(J138="Quadruplex",VLOOKUP(M138,'Características dos Cabos MX CH'!$C$21:$K$27,2),(IF(J138="13",VLOOKUP(M138,'Características dos Cabos MX CH'!$C$15:$L$20,2),"")))))))</f>
        <v/>
      </c>
      <c r="V138" s="193" t="str">
        <f>IF(J138="Duplex",VLOOKUP(M138,'Características dos Cabos MX CH'!$C$12:$I$14,3),(IF(J138="Triplex",VLOOKUP(M138,'Características dos Cabos MX CH'!$C$15:$J$20,3),(IF(J138="Quadruplex",VLOOKUP(M138,'Características dos Cabos MX CH'!$C$21:$K$27,3),(IF(J138="13",VLOOKUP(M138,'Características dos Cabos MX CH'!$C$15:$L$20,3),"")))))))</f>
        <v/>
      </c>
      <c r="W138" s="195" t="str">
        <f t="shared" si="30"/>
        <v/>
      </c>
      <c r="X138" s="195" t="str">
        <f t="shared" si="31"/>
        <v/>
      </c>
      <c r="Y138" s="196" t="str">
        <f t="shared" si="32"/>
        <v/>
      </c>
      <c r="AA138" s="396">
        <f t="shared" si="33"/>
        <v>0</v>
      </c>
      <c r="AB138" s="396">
        <f t="shared" si="26"/>
        <v>0</v>
      </c>
      <c r="AC138" s="395"/>
      <c r="AE138" s="357" t="str">
        <f t="shared" si="23"/>
        <v/>
      </c>
      <c r="AF138" s="426">
        <f t="shared" si="28"/>
        <v>0</v>
      </c>
    </row>
    <row r="139" spans="1:32" ht="15" customHeight="1">
      <c r="A139" s="696"/>
      <c r="B139" s="698"/>
      <c r="C139" s="568"/>
      <c r="D139" s="567"/>
      <c r="E139" s="372"/>
      <c r="F139" s="189" t="str">
        <f t="shared" si="34"/>
        <v/>
      </c>
      <c r="G139" s="384"/>
      <c r="H139" s="190" t="str">
        <f>IF(AND(E139="",G139=""),"",SUM(F139:G145))</f>
        <v/>
      </c>
      <c r="I139" s="191"/>
      <c r="J139" s="222"/>
      <c r="K139" s="222"/>
      <c r="L139" s="197" t="str">
        <f>IF(J139="Duplex",VLOOKUP(M139,'Características dos Cabos MX CH'!$C$12:$I$14,7),(IF(J139="Triplex",VLOOKUP(M139,'Características dos Cabos MX CH'!$C$15:$J$20,8),(IF(J139="Quadruplex",VLOOKUP(M139,'Características dos Cabos MX CH'!$C$21:$K$27,9),(IF(J139="13",VLOOKUP(M139,'Características dos Cabos MX CH'!$C$15:$L$20,10),"")))))))</f>
        <v/>
      </c>
      <c r="M139" s="350" t="str">
        <f t="shared" si="24"/>
        <v/>
      </c>
      <c r="N139" s="377"/>
      <c r="O139" s="192" t="str">
        <f t="shared" si="29"/>
        <v/>
      </c>
      <c r="P139" s="192" t="str">
        <f>IF(O139="","",SUM($O$136:O139)+$Z$136)</f>
        <v/>
      </c>
      <c r="Q139" s="192" t="str">
        <f t="shared" si="25"/>
        <v/>
      </c>
      <c r="R139" s="193" t="str">
        <f>IF(J139="Duplex",VLOOKUP(M139,'Características dos Cabos MX CH'!$C$12:$I$14,5),(IF(J139="Triplex",VLOOKUP(M139,'Características dos Cabos MX CH'!$C$15:$J$20,5),(IF(J139="Quadruplex",VLOOKUP(M139,'Características dos Cabos MX CH'!$C$21:$K$27,5),(IF(J139="13",VLOOKUP(M139,'Características dos Cabos MX CH'!$C$15:$L$20,5),"")))))))</f>
        <v/>
      </c>
      <c r="S139" s="193" t="str">
        <f>IF(J139="Duplex",VLOOKUP(M139,'Características dos Cabos MX CH'!$C$12:$I$14,6),(IF(J139="Triplex",VLOOKUP(M139,'Características dos Cabos MX CH'!$C$15:$J$20,6),(IF(J139="Quadruplex",VLOOKUP(M139,'Características dos Cabos MX CH'!$C$21:$K$27,6),(IF(J139="13",VLOOKUP(M139,'Características dos Cabos MX CH'!$C$15:$L$20,6),"")))))))</f>
        <v/>
      </c>
      <c r="T139" s="194" t="str">
        <f t="shared" si="27"/>
        <v/>
      </c>
      <c r="U139" s="447" t="str">
        <f>IF(J139="Duplex",VLOOKUP(M139,'Características dos Cabos MX CH'!$C$12:$I$14,2),(IF(J139="Triplex",VLOOKUP(M139,'Características dos Cabos MX CH'!$C$15:$J$20,2),(IF(J139="Quadruplex",VLOOKUP(M139,'Características dos Cabos MX CH'!$C$21:$K$27,2),(IF(J139="13",VLOOKUP(M139,'Características dos Cabos MX CH'!$C$15:$L$20,2),"")))))))</f>
        <v/>
      </c>
      <c r="V139" s="193" t="str">
        <f>IF(J139="Duplex",VLOOKUP(M139,'Características dos Cabos MX CH'!$C$12:$I$14,3),(IF(J139="Triplex",VLOOKUP(M139,'Características dos Cabos MX CH'!$C$15:$J$20,3),(IF(J139="Quadruplex",VLOOKUP(M139,'Características dos Cabos MX CH'!$C$21:$K$27,3),(IF(J139="13",VLOOKUP(M139,'Características dos Cabos MX CH'!$C$15:$L$20,3),"")))))))</f>
        <v/>
      </c>
      <c r="W139" s="195" t="str">
        <f t="shared" si="30"/>
        <v/>
      </c>
      <c r="X139" s="195" t="str">
        <f t="shared" si="31"/>
        <v/>
      </c>
      <c r="Y139" s="196" t="str">
        <f t="shared" si="32"/>
        <v/>
      </c>
      <c r="AA139" s="396">
        <f t="shared" si="33"/>
        <v>0</v>
      </c>
      <c r="AB139" s="396">
        <f t="shared" si="26"/>
        <v>0</v>
      </c>
      <c r="AC139" s="395"/>
      <c r="AE139" s="357" t="str">
        <f t="shared" si="23"/>
        <v/>
      </c>
      <c r="AF139" s="426">
        <f t="shared" si="28"/>
        <v>0</v>
      </c>
    </row>
    <row r="140" spans="1:32" ht="15" customHeight="1">
      <c r="A140" s="696"/>
      <c r="B140" s="698"/>
      <c r="C140" s="568"/>
      <c r="D140" s="567"/>
      <c r="E140" s="372"/>
      <c r="F140" s="189" t="str">
        <f t="shared" si="34"/>
        <v/>
      </c>
      <c r="G140" s="384"/>
      <c r="H140" s="190" t="str">
        <f>IF(AND(E140="",G140=""),"",SUM(F140:G145))</f>
        <v/>
      </c>
      <c r="I140" s="191"/>
      <c r="J140" s="222"/>
      <c r="K140" s="222"/>
      <c r="L140" s="197" t="str">
        <f>IF(J140="Duplex",VLOOKUP(M140,'Características dos Cabos MX CH'!$C$12:$I$14,7),(IF(J140="Triplex",VLOOKUP(M140,'Características dos Cabos MX CH'!$C$15:$J$20,8),(IF(J140="Quadruplex",VLOOKUP(M140,'Características dos Cabos MX CH'!$C$21:$K$27,9),(IF(J140="13",VLOOKUP(M140,'Características dos Cabos MX CH'!$C$15:$L$20,10),"")))))))</f>
        <v/>
      </c>
      <c r="M140" s="350" t="str">
        <f t="shared" si="24"/>
        <v/>
      </c>
      <c r="N140" s="377"/>
      <c r="O140" s="192" t="str">
        <f t="shared" si="29"/>
        <v/>
      </c>
      <c r="P140" s="192" t="str">
        <f>IF(O140="","",SUM($O$136:O140)+$Z$136)</f>
        <v/>
      </c>
      <c r="Q140" s="192" t="str">
        <f t="shared" si="25"/>
        <v/>
      </c>
      <c r="R140" s="193" t="str">
        <f>IF(J140="Duplex",VLOOKUP(M140,'Características dos Cabos MX CH'!$C$12:$I$14,5),(IF(J140="Triplex",VLOOKUP(M140,'Características dos Cabos MX CH'!$C$15:$J$20,5),(IF(J140="Quadruplex",VLOOKUP(M140,'Características dos Cabos MX CH'!$C$21:$K$27,5),(IF(J140="13",VLOOKUP(M140,'Características dos Cabos MX CH'!$C$15:$L$20,5),"")))))))</f>
        <v/>
      </c>
      <c r="S140" s="193" t="str">
        <f>IF(J140="Duplex",VLOOKUP(M140,'Características dos Cabos MX CH'!$C$12:$I$14,6),(IF(J140="Triplex",VLOOKUP(M140,'Características dos Cabos MX CH'!$C$15:$J$20,6),(IF(J140="Quadruplex",VLOOKUP(M140,'Características dos Cabos MX CH'!$C$21:$K$27,6),(IF(J140="13",VLOOKUP(M140,'Características dos Cabos MX CH'!$C$15:$L$20,6),"")))))))</f>
        <v/>
      </c>
      <c r="T140" s="194" t="str">
        <f t="shared" si="27"/>
        <v/>
      </c>
      <c r="U140" s="447" t="str">
        <f>IF(J140="Duplex",VLOOKUP(M140,'Características dos Cabos MX CH'!$C$12:$I$14,2),(IF(J140="Triplex",VLOOKUP(M140,'Características dos Cabos MX CH'!$C$15:$J$20,2),(IF(J140="Quadruplex",VLOOKUP(M140,'Características dos Cabos MX CH'!$C$21:$K$27,2),(IF(J140="13",VLOOKUP(M140,'Características dos Cabos MX CH'!$C$15:$L$20,2),"")))))))</f>
        <v/>
      </c>
      <c r="V140" s="193" t="str">
        <f>IF(J140="Duplex",VLOOKUP(M140,'Características dos Cabos MX CH'!$C$12:$I$14,3),(IF(J140="Triplex",VLOOKUP(M140,'Características dos Cabos MX CH'!$C$15:$J$20,3),(IF(J140="Quadruplex",VLOOKUP(M140,'Características dos Cabos MX CH'!$C$21:$K$27,3),(IF(J140="13",VLOOKUP(M140,'Características dos Cabos MX CH'!$C$15:$L$20,3),"")))))))</f>
        <v/>
      </c>
      <c r="W140" s="195" t="str">
        <f t="shared" si="30"/>
        <v/>
      </c>
      <c r="X140" s="195" t="str">
        <f t="shared" si="31"/>
        <v/>
      </c>
      <c r="Y140" s="196" t="str">
        <f t="shared" si="32"/>
        <v/>
      </c>
      <c r="AA140" s="396">
        <f t="shared" si="33"/>
        <v>0</v>
      </c>
      <c r="AB140" s="396">
        <f t="shared" si="26"/>
        <v>0</v>
      </c>
      <c r="AC140" s="395"/>
      <c r="AE140" s="357" t="str">
        <f t="shared" si="23"/>
        <v/>
      </c>
      <c r="AF140" s="426">
        <f t="shared" si="28"/>
        <v>0</v>
      </c>
    </row>
    <row r="141" spans="1:32" ht="15" customHeight="1">
      <c r="A141" s="696"/>
      <c r="B141" s="698"/>
      <c r="C141" s="568"/>
      <c r="D141" s="567"/>
      <c r="E141" s="372"/>
      <c r="F141" s="189" t="str">
        <f t="shared" si="34"/>
        <v/>
      </c>
      <c r="G141" s="384"/>
      <c r="H141" s="190" t="str">
        <f>IF(AND(E141="",G141=""),"",SUM(F141:G145))</f>
        <v/>
      </c>
      <c r="I141" s="191"/>
      <c r="J141" s="222"/>
      <c r="K141" s="222"/>
      <c r="L141" s="197" t="str">
        <f>IF(J141="Duplex",VLOOKUP(M141,'Características dos Cabos MX CH'!$C$12:$I$14,7),(IF(J141="Triplex",VLOOKUP(M141,'Características dos Cabos MX CH'!$C$15:$J$20,8),(IF(J141="Quadruplex",VLOOKUP(M141,'Características dos Cabos MX CH'!$C$21:$K$27,9),(IF(J141="13",VLOOKUP(M141,'Características dos Cabos MX CH'!$C$15:$L$20,10),"")))))))</f>
        <v/>
      </c>
      <c r="M141" s="350" t="str">
        <f t="shared" si="24"/>
        <v/>
      </c>
      <c r="N141" s="377"/>
      <c r="O141" s="192" t="str">
        <f t="shared" si="29"/>
        <v/>
      </c>
      <c r="P141" s="192" t="str">
        <f>IF(O141="","",SUM($O$136:O141)+$Z$136)</f>
        <v/>
      </c>
      <c r="Q141" s="192" t="str">
        <f t="shared" si="25"/>
        <v/>
      </c>
      <c r="R141" s="193" t="str">
        <f>IF(J141="Duplex",VLOOKUP(M141,'Características dos Cabos MX CH'!$C$12:$I$14,5),(IF(J141="Triplex",VLOOKUP(M141,'Características dos Cabos MX CH'!$C$15:$J$20,5),(IF(J141="Quadruplex",VLOOKUP(M141,'Características dos Cabos MX CH'!$C$21:$K$27,5),(IF(J141="13",VLOOKUP(M141,'Características dos Cabos MX CH'!$C$15:$L$20,5),"")))))))</f>
        <v/>
      </c>
      <c r="S141" s="193" t="str">
        <f>IF(J141="Duplex",VLOOKUP(M141,'Características dos Cabos MX CH'!$C$12:$I$14,6),(IF(J141="Triplex",VLOOKUP(M141,'Características dos Cabos MX CH'!$C$15:$J$20,6),(IF(J141="Quadruplex",VLOOKUP(M141,'Características dos Cabos MX CH'!$C$21:$K$27,6),(IF(J141="13",VLOOKUP(M141,'Características dos Cabos MX CH'!$C$15:$L$20,6),"")))))))</f>
        <v/>
      </c>
      <c r="T141" s="194" t="str">
        <f t="shared" si="27"/>
        <v/>
      </c>
      <c r="U141" s="447" t="str">
        <f>IF(J141="Duplex",VLOOKUP(M141,'Características dos Cabos MX CH'!$C$12:$I$14,2),(IF(J141="Triplex",VLOOKUP(M141,'Características dos Cabos MX CH'!$C$15:$J$20,2),(IF(J141="Quadruplex",VLOOKUP(M141,'Características dos Cabos MX CH'!$C$21:$K$27,2),(IF(J141="13",VLOOKUP(M141,'Características dos Cabos MX CH'!$C$15:$L$20,2),"")))))))</f>
        <v/>
      </c>
      <c r="V141" s="193" t="str">
        <f>IF(J141="Duplex",VLOOKUP(M141,'Características dos Cabos MX CH'!$C$12:$I$14,3),(IF(J141="Triplex",VLOOKUP(M141,'Características dos Cabos MX CH'!$C$15:$J$20,3),(IF(J141="Quadruplex",VLOOKUP(M141,'Características dos Cabos MX CH'!$C$21:$K$27,3),(IF(J141="13",VLOOKUP(M141,'Características dos Cabos MX CH'!$C$15:$L$20,3),"")))))))</f>
        <v/>
      </c>
      <c r="W141" s="195" t="str">
        <f t="shared" si="30"/>
        <v/>
      </c>
      <c r="X141" s="195" t="str">
        <f t="shared" si="31"/>
        <v/>
      </c>
      <c r="Y141" s="196" t="str">
        <f t="shared" si="32"/>
        <v/>
      </c>
      <c r="AA141" s="396">
        <f t="shared" si="33"/>
        <v>0</v>
      </c>
      <c r="AB141" s="396">
        <f t="shared" si="26"/>
        <v>0</v>
      </c>
      <c r="AC141" s="395"/>
      <c r="AE141" s="357" t="str">
        <f t="shared" si="23"/>
        <v/>
      </c>
      <c r="AF141" s="426">
        <f t="shared" si="28"/>
        <v>0</v>
      </c>
    </row>
    <row r="142" spans="1:32" ht="15" customHeight="1">
      <c r="A142" s="696"/>
      <c r="B142" s="698"/>
      <c r="C142" s="568"/>
      <c r="D142" s="567"/>
      <c r="E142" s="372"/>
      <c r="F142" s="189" t="str">
        <f t="shared" si="34"/>
        <v/>
      </c>
      <c r="G142" s="384"/>
      <c r="H142" s="190" t="str">
        <f>IF(AND(E142="",G142=""),"",SUM(F142:G145))</f>
        <v/>
      </c>
      <c r="I142" s="191"/>
      <c r="J142" s="222"/>
      <c r="K142" s="222"/>
      <c r="L142" s="197" t="str">
        <f>IF(J142="Duplex",VLOOKUP(M142,'Características dos Cabos MX CH'!$C$12:$I$14,7),(IF(J142="Triplex",VLOOKUP(M142,'Características dos Cabos MX CH'!$C$15:$J$20,8),(IF(J142="Quadruplex",VLOOKUP(M142,'Características dos Cabos MX CH'!$C$21:$K$27,9),(IF(J142="13",VLOOKUP(M142,'Características dos Cabos MX CH'!$C$15:$L$20,10),"")))))))</f>
        <v/>
      </c>
      <c r="M142" s="350" t="str">
        <f t="shared" si="24"/>
        <v/>
      </c>
      <c r="N142" s="377"/>
      <c r="O142" s="192" t="str">
        <f t="shared" si="29"/>
        <v/>
      </c>
      <c r="P142" s="192" t="str">
        <f>IF(O142="","",SUM($O$136:O142)+$Z$136)</f>
        <v/>
      </c>
      <c r="Q142" s="192" t="str">
        <f t="shared" si="25"/>
        <v/>
      </c>
      <c r="R142" s="193" t="str">
        <f>IF(J142="Duplex",VLOOKUP(M142,'Características dos Cabos MX CH'!$C$12:$I$14,5),(IF(J142="Triplex",VLOOKUP(M142,'Características dos Cabos MX CH'!$C$15:$J$20,5),(IF(J142="Quadruplex",VLOOKUP(M142,'Características dos Cabos MX CH'!$C$21:$K$27,5),(IF(J142="13",VLOOKUP(M142,'Características dos Cabos MX CH'!$C$15:$L$20,5),"")))))))</f>
        <v/>
      </c>
      <c r="S142" s="193" t="str">
        <f>IF(J142="Duplex",VLOOKUP(M142,'Características dos Cabos MX CH'!$C$12:$I$14,6),(IF(J142="Triplex",VLOOKUP(M142,'Características dos Cabos MX CH'!$C$15:$J$20,6),(IF(J142="Quadruplex",VLOOKUP(M142,'Características dos Cabos MX CH'!$C$21:$K$27,6),(IF(J142="13",VLOOKUP(M142,'Características dos Cabos MX CH'!$C$15:$L$20,6),"")))))))</f>
        <v/>
      </c>
      <c r="T142" s="194" t="str">
        <f t="shared" si="27"/>
        <v/>
      </c>
      <c r="U142" s="447" t="str">
        <f>IF(J142="Duplex",VLOOKUP(M142,'Características dos Cabos MX CH'!$C$12:$I$14,2),(IF(J142="Triplex",VLOOKUP(M142,'Características dos Cabos MX CH'!$C$15:$J$20,2),(IF(J142="Quadruplex",VLOOKUP(M142,'Características dos Cabos MX CH'!$C$21:$K$27,2),(IF(J142="13",VLOOKUP(M142,'Características dos Cabos MX CH'!$C$15:$L$20,2),"")))))))</f>
        <v/>
      </c>
      <c r="V142" s="193" t="str">
        <f>IF(J142="Duplex",VLOOKUP(M142,'Características dos Cabos MX CH'!$C$12:$I$14,3),(IF(J142="Triplex",VLOOKUP(M142,'Características dos Cabos MX CH'!$C$15:$J$20,3),(IF(J142="Quadruplex",VLOOKUP(M142,'Características dos Cabos MX CH'!$C$21:$K$27,3),(IF(J142="13",VLOOKUP(M142,'Características dos Cabos MX CH'!$C$15:$L$20,3),"")))))))</f>
        <v/>
      </c>
      <c r="W142" s="195" t="str">
        <f t="shared" si="30"/>
        <v/>
      </c>
      <c r="X142" s="195" t="str">
        <f t="shared" si="31"/>
        <v/>
      </c>
      <c r="Y142" s="196" t="str">
        <f t="shared" si="32"/>
        <v/>
      </c>
      <c r="AA142" s="396">
        <f t="shared" si="33"/>
        <v>0</v>
      </c>
      <c r="AB142" s="396">
        <f t="shared" si="26"/>
        <v>0</v>
      </c>
      <c r="AC142" s="395"/>
      <c r="AE142" s="357" t="str">
        <f t="shared" si="23"/>
        <v/>
      </c>
      <c r="AF142" s="426">
        <f t="shared" si="28"/>
        <v>0</v>
      </c>
    </row>
    <row r="143" spans="1:32" ht="15" customHeight="1">
      <c r="A143" s="696"/>
      <c r="B143" s="698"/>
      <c r="C143" s="568"/>
      <c r="D143" s="368"/>
      <c r="E143" s="372"/>
      <c r="F143" s="189" t="str">
        <f t="shared" si="34"/>
        <v/>
      </c>
      <c r="G143" s="384"/>
      <c r="H143" s="190" t="str">
        <f>IF(AND(E143="",G143=""),"",SUM(F143:G145))</f>
        <v/>
      </c>
      <c r="I143" s="191"/>
      <c r="J143" s="222"/>
      <c r="K143" s="222"/>
      <c r="L143" s="197" t="str">
        <f>IF(J143="Duplex",VLOOKUP(M143,'Características dos Cabos MX CH'!$C$12:$I$14,7),(IF(J143="Triplex",VLOOKUP(M143,'Características dos Cabos MX CH'!$C$15:$J$20,8),(IF(J143="Quadruplex",VLOOKUP(M143,'Características dos Cabos MX CH'!$C$21:$K$27,9),(IF(J143="13",VLOOKUP(M143,'Características dos Cabos MX CH'!$C$15:$L$20,10),"")))))))</f>
        <v/>
      </c>
      <c r="M143" s="350" t="str">
        <f t="shared" si="24"/>
        <v/>
      </c>
      <c r="N143" s="377"/>
      <c r="O143" s="192" t="str">
        <f t="shared" si="29"/>
        <v/>
      </c>
      <c r="P143" s="192" t="str">
        <f>IF(O143="","",SUM($O$136:O143)+$Z$136)</f>
        <v/>
      </c>
      <c r="Q143" s="192" t="str">
        <f t="shared" si="25"/>
        <v/>
      </c>
      <c r="R143" s="193" t="str">
        <f>IF(J143="Duplex",VLOOKUP(M143,'Características dos Cabos MX CH'!$C$12:$I$14,5),(IF(J143="Triplex",VLOOKUP(M143,'Características dos Cabos MX CH'!$C$15:$J$20,5),(IF(J143="Quadruplex",VLOOKUP(M143,'Características dos Cabos MX CH'!$C$21:$K$27,5),(IF(J143="13",VLOOKUP(M143,'Características dos Cabos MX CH'!$C$15:$L$20,5),"")))))))</f>
        <v/>
      </c>
      <c r="S143" s="193" t="str">
        <f>IF(J143="Duplex",VLOOKUP(M143,'Características dos Cabos MX CH'!$C$12:$I$14,6),(IF(J143="Triplex",VLOOKUP(M143,'Características dos Cabos MX CH'!$C$15:$J$20,6),(IF(J143="Quadruplex",VLOOKUP(M143,'Características dos Cabos MX CH'!$C$21:$K$27,6),(IF(J143="13",VLOOKUP(M143,'Características dos Cabos MX CH'!$C$15:$L$20,6),"")))))))</f>
        <v/>
      </c>
      <c r="T143" s="194" t="str">
        <f t="shared" si="27"/>
        <v/>
      </c>
      <c r="U143" s="447" t="str">
        <f>IF(J143="Duplex",VLOOKUP(M143,'Características dos Cabos MX CH'!$C$12:$I$14,2),(IF(J143="Triplex",VLOOKUP(M143,'Características dos Cabos MX CH'!$C$15:$J$20,2),(IF(J143="Quadruplex",VLOOKUP(M143,'Características dos Cabos MX CH'!$C$21:$K$27,2),(IF(J143="13",VLOOKUP(M143,'Características dos Cabos MX CH'!$C$15:$L$20,2),"")))))))</f>
        <v/>
      </c>
      <c r="V143" s="193" t="str">
        <f>IF(J143="Duplex",VLOOKUP(M143,'Características dos Cabos MX CH'!$C$12:$I$14,3),(IF(J143="Triplex",VLOOKUP(M143,'Características dos Cabos MX CH'!$C$15:$J$20,3),(IF(J143="Quadruplex",VLOOKUP(M143,'Características dos Cabos MX CH'!$C$21:$K$27,3),(IF(J143="13",VLOOKUP(M143,'Características dos Cabos MX CH'!$C$15:$L$20,3),"")))))))</f>
        <v/>
      </c>
      <c r="W143" s="195" t="str">
        <f t="shared" si="30"/>
        <v/>
      </c>
      <c r="X143" s="195" t="str">
        <f t="shared" si="31"/>
        <v/>
      </c>
      <c r="Y143" s="196" t="str">
        <f t="shared" si="32"/>
        <v/>
      </c>
      <c r="AA143" s="396">
        <f t="shared" si="33"/>
        <v>0</v>
      </c>
      <c r="AB143" s="396">
        <f t="shared" si="26"/>
        <v>0</v>
      </c>
      <c r="AC143" s="395"/>
      <c r="AE143" s="357" t="str">
        <f t="shared" si="23"/>
        <v/>
      </c>
      <c r="AF143" s="426">
        <f t="shared" si="28"/>
        <v>0</v>
      </c>
    </row>
    <row r="144" spans="1:32" ht="15" customHeight="1">
      <c r="A144" s="696"/>
      <c r="B144" s="698"/>
      <c r="C144" s="568"/>
      <c r="D144" s="368"/>
      <c r="E144" s="372"/>
      <c r="F144" s="189" t="str">
        <f t="shared" si="34"/>
        <v/>
      </c>
      <c r="G144" s="384"/>
      <c r="H144" s="190" t="str">
        <f>IF(AND(E144="",G144=""),"",SUM(F144:G145))</f>
        <v/>
      </c>
      <c r="I144" s="191"/>
      <c r="J144" s="222"/>
      <c r="K144" s="222"/>
      <c r="L144" s="197" t="str">
        <f>IF(J144="Duplex",VLOOKUP(M144,'Características dos Cabos MX CH'!$C$12:$I$14,7),(IF(J144="Triplex",VLOOKUP(M144,'Características dos Cabos MX CH'!$C$15:$J$20,8),(IF(J144="Quadruplex",VLOOKUP(M144,'Características dos Cabos MX CH'!$C$21:$K$27,9),(IF(J144="13",VLOOKUP(M144,'Características dos Cabos MX CH'!$C$15:$L$20,10),"")))))))</f>
        <v/>
      </c>
      <c r="M144" s="350" t="str">
        <f t="shared" si="24"/>
        <v/>
      </c>
      <c r="N144" s="377"/>
      <c r="O144" s="192" t="str">
        <f t="shared" si="29"/>
        <v/>
      </c>
      <c r="P144" s="192" t="str">
        <f>IF(O144="","",SUM($O$136:O144)+$Z$136)</f>
        <v/>
      </c>
      <c r="Q144" s="192" t="str">
        <f t="shared" si="25"/>
        <v/>
      </c>
      <c r="R144" s="193" t="str">
        <f>IF(J144="Duplex",VLOOKUP(M144,'Características dos Cabos MX CH'!$C$12:$I$14,5),(IF(J144="Triplex",VLOOKUP(M144,'Características dos Cabos MX CH'!$C$15:$J$20,5),(IF(J144="Quadruplex",VLOOKUP(M144,'Características dos Cabos MX CH'!$C$21:$K$27,5),(IF(J144="13",VLOOKUP(M144,'Características dos Cabos MX CH'!$C$15:$L$20,5),"")))))))</f>
        <v/>
      </c>
      <c r="S144" s="193" t="str">
        <f>IF(J144="Duplex",VLOOKUP(M144,'Características dos Cabos MX CH'!$C$12:$I$14,6),(IF(J144="Triplex",VLOOKUP(M144,'Características dos Cabos MX CH'!$C$15:$J$20,6),(IF(J144="Quadruplex",VLOOKUP(M144,'Características dos Cabos MX CH'!$C$21:$K$27,6),(IF(J144="13",VLOOKUP(M144,'Características dos Cabos MX CH'!$C$15:$L$20,6),"")))))))</f>
        <v/>
      </c>
      <c r="T144" s="194" t="str">
        <f t="shared" si="27"/>
        <v/>
      </c>
      <c r="U144" s="447" t="str">
        <f>IF(J144="Duplex",VLOOKUP(M144,'Características dos Cabos MX CH'!$C$12:$I$14,2),(IF(J144="Triplex",VLOOKUP(M144,'Características dos Cabos MX CH'!$C$15:$J$20,2),(IF(J144="Quadruplex",VLOOKUP(M144,'Características dos Cabos MX CH'!$C$21:$K$27,2),(IF(J144="13",VLOOKUP(M144,'Características dos Cabos MX CH'!$C$15:$L$20,2),"")))))))</f>
        <v/>
      </c>
      <c r="V144" s="193" t="str">
        <f>IF(J144="Duplex",VLOOKUP(M144,'Características dos Cabos MX CH'!$C$12:$I$14,3),(IF(J144="Triplex",VLOOKUP(M144,'Características dos Cabos MX CH'!$C$15:$J$20,3),(IF(J144="Quadruplex",VLOOKUP(M144,'Características dos Cabos MX CH'!$C$21:$K$27,3),(IF(J144="13",VLOOKUP(M144,'Características dos Cabos MX CH'!$C$15:$L$20,3),"")))))))</f>
        <v/>
      </c>
      <c r="W144" s="195" t="str">
        <f t="shared" si="30"/>
        <v/>
      </c>
      <c r="X144" s="195" t="str">
        <f t="shared" si="31"/>
        <v/>
      </c>
      <c r="Y144" s="196" t="str">
        <f t="shared" si="32"/>
        <v/>
      </c>
      <c r="AA144" s="396">
        <f t="shared" si="33"/>
        <v>0</v>
      </c>
      <c r="AB144" s="396">
        <f t="shared" si="26"/>
        <v>0</v>
      </c>
      <c r="AC144" s="395"/>
      <c r="AE144" s="357" t="str">
        <f t="shared" si="23"/>
        <v/>
      </c>
      <c r="AF144" s="426">
        <f t="shared" si="28"/>
        <v>0</v>
      </c>
    </row>
    <row r="145" spans="1:32" ht="15" customHeight="1" thickBot="1">
      <c r="A145" s="696"/>
      <c r="B145" s="699"/>
      <c r="C145" s="568"/>
      <c r="D145" s="370"/>
      <c r="E145" s="369"/>
      <c r="F145" s="199" t="str">
        <f t="shared" si="34"/>
        <v/>
      </c>
      <c r="G145" s="385"/>
      <c r="H145" s="200" t="str">
        <f>IF(AND(E145="",G145=""),"",SUM(F145:G145))</f>
        <v/>
      </c>
      <c r="I145" s="201"/>
      <c r="J145" s="223"/>
      <c r="K145" s="223"/>
      <c r="L145" s="202" t="str">
        <f>IF(J145="Duplex",VLOOKUP(M145,'Características dos Cabos MX CH'!$C$12:$I$14,7),(IF(J145="Triplex",VLOOKUP(M145,'Características dos Cabos MX CH'!$C$15:$J$20,8),(IF(J145="Quadruplex",VLOOKUP(M145,'Características dos Cabos MX CH'!$C$21:$K$27,9),(IF(J145="13",VLOOKUP(M145,'Características dos Cabos MX CH'!$C$15:$L$20,10),"")))))))</f>
        <v/>
      </c>
      <c r="M145" s="353" t="str">
        <f t="shared" si="24"/>
        <v/>
      </c>
      <c r="N145" s="378"/>
      <c r="O145" s="203" t="str">
        <f t="shared" si="29"/>
        <v/>
      </c>
      <c r="P145" s="192" t="str">
        <f>IF(O145="","",SUM($O$136:O145)+$Z$136)</f>
        <v/>
      </c>
      <c r="Q145" s="203" t="str">
        <f t="shared" si="25"/>
        <v/>
      </c>
      <c r="R145" s="204" t="str">
        <f>IF(J145="Duplex",VLOOKUP(M145,'Características dos Cabos MX CH'!$C$12:$I$14,5),(IF(J145="Triplex",VLOOKUP(M145,'Características dos Cabos MX CH'!$C$15:$J$20,5),(IF(J145="Quadruplex",VLOOKUP(M145,'Características dos Cabos MX CH'!$C$21:$K$27,5),(IF(J145="13",VLOOKUP(M145,'Características dos Cabos MX CH'!$C$15:$L$20,5),"")))))))</f>
        <v/>
      </c>
      <c r="S145" s="204" t="str">
        <f>IF(J145="Duplex",VLOOKUP(M145,'Características dos Cabos MX CH'!$C$12:$I$14,6),(IF(J145="Triplex",VLOOKUP(M145,'Características dos Cabos MX CH'!$C$15:$J$20,6),(IF(J145="Quadruplex",VLOOKUP(M145,'Características dos Cabos MX CH'!$C$21:$K$27,6),(IF(J145="13",VLOOKUP(M145,'Características dos Cabos MX CH'!$C$15:$L$20,6),"")))))))</f>
        <v/>
      </c>
      <c r="T145" s="205" t="str">
        <f t="shared" si="27"/>
        <v/>
      </c>
      <c r="U145" s="448" t="str">
        <f>IF(J145="Duplex",VLOOKUP(M145,'Características dos Cabos MX CH'!$C$12:$I$14,2),(IF(J145="Triplex",VLOOKUP(M145,'Características dos Cabos MX CH'!$C$15:$J$20,2),(IF(J145="Quadruplex",VLOOKUP(M145,'Características dos Cabos MX CH'!$C$21:$K$27,2),(IF(J145="13",VLOOKUP(M145,'Características dos Cabos MX CH'!$C$15:$L$20,2),"")))))))</f>
        <v/>
      </c>
      <c r="V145" s="204" t="str">
        <f>IF(J145="Duplex",VLOOKUP(M145,'Características dos Cabos MX CH'!$C$12:$I$14,3),(IF(J145="Triplex",VLOOKUP(M145,'Características dos Cabos MX CH'!$C$15:$J$20,3),(IF(J145="Quadruplex",VLOOKUP(M145,'Características dos Cabos MX CH'!$C$21:$K$27,3),(IF(J145="13",VLOOKUP(M145,'Características dos Cabos MX CH'!$C$15:$L$20,3),"")))))))</f>
        <v/>
      </c>
      <c r="W145" s="206" t="str">
        <f t="shared" si="30"/>
        <v/>
      </c>
      <c r="X145" s="206" t="str">
        <f t="shared" si="31"/>
        <v/>
      </c>
      <c r="Y145" s="207" t="str">
        <f t="shared" si="32"/>
        <v/>
      </c>
      <c r="AA145" s="396">
        <f t="shared" si="33"/>
        <v>0</v>
      </c>
      <c r="AB145" s="396">
        <f t="shared" si="26"/>
        <v>0</v>
      </c>
      <c r="AC145" s="395"/>
      <c r="AE145" s="357" t="str">
        <f t="shared" si="23"/>
        <v/>
      </c>
      <c r="AF145" s="426">
        <f t="shared" si="28"/>
        <v>0</v>
      </c>
    </row>
    <row r="146" spans="1:32" ht="15" customHeight="1" thickTop="1">
      <c r="A146" s="696"/>
      <c r="B146" s="700" t="str">
        <f>CONCATENATE("Ramal 11 - Derivando no ponto ",C146)</f>
        <v xml:space="preserve">Ramal 11 - Derivando no ponto </v>
      </c>
      <c r="C146" s="572"/>
      <c r="D146" s="573"/>
      <c r="E146" s="374"/>
      <c r="F146" s="208" t="str">
        <f t="shared" si="34"/>
        <v/>
      </c>
      <c r="G146" s="386"/>
      <c r="H146" s="209" t="str">
        <f>IF(AND(E146="",G146=""),"",SUM(F146:G155))</f>
        <v/>
      </c>
      <c r="I146" s="210"/>
      <c r="J146" s="224"/>
      <c r="K146" s="224"/>
      <c r="L146" s="211" t="str">
        <f>IF(J146="Duplex",VLOOKUP(M146,'Características dos Cabos MX CH'!$C$12:$I$14,7),(IF(J146="Triplex",VLOOKUP(M146,'Características dos Cabos MX CH'!$C$15:$J$20,8),(IF(J146="Quadruplex",VLOOKUP(M146,'Características dos Cabos MX CH'!$C$21:$K$27,9),(IF(J146="13",VLOOKUP(M146,'Características dos Cabos MX CH'!$C$15:$L$20,10),"")))))))</f>
        <v/>
      </c>
      <c r="M146" s="354" t="str">
        <f t="shared" si="24"/>
        <v/>
      </c>
      <c r="N146" s="379"/>
      <c r="O146" s="212" t="str">
        <f t="shared" si="29"/>
        <v/>
      </c>
      <c r="P146" s="217" t="str">
        <f>IF(O146="","",O146+VLOOKUP(C146,$D$20:$Q$145,13,FALSE))</f>
        <v/>
      </c>
      <c r="Q146" s="212" t="str">
        <f t="shared" si="25"/>
        <v/>
      </c>
      <c r="R146" s="213" t="str">
        <f>IF(J146="Duplex",VLOOKUP(M146,'Características dos Cabos MX CH'!$C$12:$I$14,5),(IF(J146="Triplex",VLOOKUP(M146,'Características dos Cabos MX CH'!$C$15:$J$20,5),(IF(J146="Quadruplex",VLOOKUP(M146,'Características dos Cabos MX CH'!$C$21:$K$27,5),(IF(J146="13",VLOOKUP(M146,'Características dos Cabos MX CH'!$C$15:$L$20,5),"")))))))</f>
        <v/>
      </c>
      <c r="S146" s="213" t="str">
        <f>IF(J146="Duplex",VLOOKUP(M146,'Características dos Cabos MX CH'!$C$12:$I$14,6),(IF(J146="Triplex",VLOOKUP(M146,'Características dos Cabos MX CH'!$C$15:$J$20,6),(IF(J146="Quadruplex",VLOOKUP(M146,'Características dos Cabos MX CH'!$C$21:$K$27,6),(IF(J146="13",VLOOKUP(M146,'Características dos Cabos MX CH'!$C$15:$L$20,6),"")))))))</f>
        <v/>
      </c>
      <c r="T146" s="214" t="str">
        <f t="shared" si="27"/>
        <v/>
      </c>
      <c r="U146" s="450" t="str">
        <f>IF(J146="Duplex",VLOOKUP(M146,'Características dos Cabos MX CH'!$C$12:$I$14,2),(IF(J146="Triplex",VLOOKUP(M146,'Características dos Cabos MX CH'!$C$15:$J$20,2),(IF(J146="Quadruplex",VLOOKUP(M146,'Características dos Cabos MX CH'!$C$21:$K$27,2),(IF(J146="13",VLOOKUP(M146,'Características dos Cabos MX CH'!$C$15:$L$20,2),"")))))))</f>
        <v/>
      </c>
      <c r="V146" s="213" t="str">
        <f>IF(J146="Duplex",VLOOKUP(M146,'Características dos Cabos MX CH'!$C$12:$I$14,3),(IF(J146="Triplex",VLOOKUP(M146,'Características dos Cabos MX CH'!$C$15:$J$20,3),(IF(J146="Quadruplex",VLOOKUP(M146,'Características dos Cabos MX CH'!$C$21:$K$27,3),(IF(J146="13",VLOOKUP(M146,'Características dos Cabos MX CH'!$C$15:$L$20,3),"")))))))</f>
        <v/>
      </c>
      <c r="W146" s="215" t="str">
        <f t="shared" si="30"/>
        <v/>
      </c>
      <c r="X146" s="215" t="str">
        <f t="shared" si="31"/>
        <v/>
      </c>
      <c r="Y146" s="216" t="str">
        <f t="shared" si="32"/>
        <v/>
      </c>
      <c r="Z146" s="393" t="str">
        <f>IF(O146="","",VLOOKUP(C146,$D$20:$P$145,13,FALSE))</f>
        <v/>
      </c>
      <c r="AA146" s="396">
        <f t="shared" si="33"/>
        <v>0</v>
      </c>
      <c r="AB146" s="396">
        <f t="shared" si="26"/>
        <v>0</v>
      </c>
      <c r="AC146" s="395"/>
      <c r="AE146" s="357" t="str">
        <f t="shared" si="23"/>
        <v/>
      </c>
      <c r="AF146" s="426">
        <f t="shared" si="28"/>
        <v>0</v>
      </c>
    </row>
    <row r="147" spans="1:32" ht="15" customHeight="1">
      <c r="A147" s="696"/>
      <c r="B147" s="698"/>
      <c r="C147" s="562"/>
      <c r="D147" s="567"/>
      <c r="E147" s="372"/>
      <c r="F147" s="189" t="str">
        <f t="shared" si="34"/>
        <v/>
      </c>
      <c r="G147" s="384"/>
      <c r="H147" s="190" t="str">
        <f>IF(AND(E147="",G147=""),"",SUM(F147:G155))</f>
        <v/>
      </c>
      <c r="I147" s="191"/>
      <c r="J147" s="222"/>
      <c r="K147" s="222"/>
      <c r="L147" s="197" t="str">
        <f>IF(J147="Duplex",VLOOKUP(M147,'Características dos Cabos MX CH'!$C$12:$I$14,7),(IF(J147="Triplex",VLOOKUP(M147,'Características dos Cabos MX CH'!$C$15:$J$20,8),(IF(J147="Quadruplex",VLOOKUP(M147,'Características dos Cabos MX CH'!$C$21:$K$27,9),(IF(J147="13",VLOOKUP(M147,'Características dos Cabos MX CH'!$C$15:$L$20,10),"")))))))</f>
        <v/>
      </c>
      <c r="M147" s="350" t="str">
        <f t="shared" si="24"/>
        <v/>
      </c>
      <c r="N147" s="377"/>
      <c r="O147" s="192" t="str">
        <f t="shared" si="29"/>
        <v/>
      </c>
      <c r="P147" s="192" t="str">
        <f>IF(O147="","",SUM($O$146:O147)+$Z$146)</f>
        <v/>
      </c>
      <c r="Q147" s="192" t="str">
        <f t="shared" si="25"/>
        <v/>
      </c>
      <c r="R147" s="193" t="str">
        <f>IF(J147="Duplex",VLOOKUP(M147,'Características dos Cabos MX CH'!$C$12:$I$14,5),(IF(J147="Triplex",VLOOKUP(M147,'Características dos Cabos MX CH'!$C$15:$J$20,5),(IF(J147="Quadruplex",VLOOKUP(M147,'Características dos Cabos MX CH'!$C$21:$K$27,5),(IF(J147="13",VLOOKUP(M147,'Características dos Cabos MX CH'!$C$15:$L$20,5),"")))))))</f>
        <v/>
      </c>
      <c r="S147" s="193" t="str">
        <f>IF(J147="Duplex",VLOOKUP(M147,'Características dos Cabos MX CH'!$C$12:$I$14,6),(IF(J147="Triplex",VLOOKUP(M147,'Características dos Cabos MX CH'!$C$15:$J$20,6),(IF(J147="Quadruplex",VLOOKUP(M147,'Características dos Cabos MX CH'!$C$21:$K$27,6),(IF(J147="13",VLOOKUP(M147,'Características dos Cabos MX CH'!$C$15:$L$20,6),"")))))))</f>
        <v/>
      </c>
      <c r="T147" s="194" t="str">
        <f t="shared" si="27"/>
        <v/>
      </c>
      <c r="U147" s="447" t="str">
        <f>IF(J147="Duplex",VLOOKUP(M147,'Características dos Cabos MX CH'!$C$12:$I$14,2),(IF(J147="Triplex",VLOOKUP(M147,'Características dos Cabos MX CH'!$C$15:$J$20,2),(IF(J147="Quadruplex",VLOOKUP(M147,'Características dos Cabos MX CH'!$C$21:$K$27,2),(IF(J147="13",VLOOKUP(M147,'Características dos Cabos MX CH'!$C$15:$L$20,2),"")))))))</f>
        <v/>
      </c>
      <c r="V147" s="193" t="str">
        <f>IF(J147="Duplex",VLOOKUP(M147,'Características dos Cabos MX CH'!$C$12:$I$14,3),(IF(J147="Triplex",VLOOKUP(M147,'Características dos Cabos MX CH'!$C$15:$J$20,3),(IF(J147="Quadruplex",VLOOKUP(M147,'Características dos Cabos MX CH'!$C$21:$K$27,3),(IF(J147="13",VLOOKUP(M147,'Características dos Cabos MX CH'!$C$15:$L$20,3),"")))))))</f>
        <v/>
      </c>
      <c r="W147" s="195" t="str">
        <f t="shared" si="30"/>
        <v/>
      </c>
      <c r="X147" s="195" t="str">
        <f t="shared" si="31"/>
        <v/>
      </c>
      <c r="Y147" s="196" t="str">
        <f t="shared" si="32"/>
        <v/>
      </c>
      <c r="AA147" s="396">
        <f t="shared" si="33"/>
        <v>0</v>
      </c>
      <c r="AB147" s="396">
        <f t="shared" si="26"/>
        <v>0</v>
      </c>
      <c r="AC147" s="395"/>
      <c r="AE147" s="357" t="str">
        <f t="shared" si="23"/>
        <v/>
      </c>
      <c r="AF147" s="426">
        <f t="shared" si="28"/>
        <v>0</v>
      </c>
    </row>
    <row r="148" spans="1:32" ht="15" customHeight="1">
      <c r="A148" s="696"/>
      <c r="B148" s="698"/>
      <c r="C148" s="568"/>
      <c r="D148" s="567"/>
      <c r="E148" s="372"/>
      <c r="F148" s="189" t="str">
        <f t="shared" si="34"/>
        <v/>
      </c>
      <c r="G148" s="384"/>
      <c r="H148" s="190" t="str">
        <f>IF(AND(E148="",G148=""),"",SUM(F148:G155))</f>
        <v/>
      </c>
      <c r="I148" s="191"/>
      <c r="J148" s="222"/>
      <c r="K148" s="222"/>
      <c r="L148" s="197" t="str">
        <f>IF(J148="Duplex",VLOOKUP(M148,'Características dos Cabos MX CH'!$C$12:$I$14,7),(IF(J148="Triplex",VLOOKUP(M148,'Características dos Cabos MX CH'!$C$15:$J$20,8),(IF(J148="Quadruplex",VLOOKUP(M148,'Características dos Cabos MX CH'!$C$21:$K$27,9),(IF(J148="13",VLOOKUP(M148,'Características dos Cabos MX CH'!$C$15:$L$20,10),"")))))))</f>
        <v/>
      </c>
      <c r="M148" s="350" t="str">
        <f t="shared" si="24"/>
        <v/>
      </c>
      <c r="N148" s="377"/>
      <c r="O148" s="192" t="str">
        <f t="shared" si="29"/>
        <v/>
      </c>
      <c r="P148" s="192" t="str">
        <f>IF(O148="","",SUM($O$146:O148)+$Z$146)</f>
        <v/>
      </c>
      <c r="Q148" s="192" t="str">
        <f t="shared" si="25"/>
        <v/>
      </c>
      <c r="R148" s="193" t="str">
        <f>IF(J148="Duplex",VLOOKUP(M148,'Características dos Cabos MX CH'!$C$12:$I$14,5),(IF(J148="Triplex",VLOOKUP(M148,'Características dos Cabos MX CH'!$C$15:$J$20,5),(IF(J148="Quadruplex",VLOOKUP(M148,'Características dos Cabos MX CH'!$C$21:$K$27,5),(IF(J148="13",VLOOKUP(M148,'Características dos Cabos MX CH'!$C$15:$L$20,5),"")))))))</f>
        <v/>
      </c>
      <c r="S148" s="193" t="str">
        <f>IF(J148="Duplex",VLOOKUP(M148,'Características dos Cabos MX CH'!$C$12:$I$14,6),(IF(J148="Triplex",VLOOKUP(M148,'Características dos Cabos MX CH'!$C$15:$J$20,6),(IF(J148="Quadruplex",VLOOKUP(M148,'Características dos Cabos MX CH'!$C$21:$K$27,6),(IF(J148="13",VLOOKUP(M148,'Características dos Cabos MX CH'!$C$15:$L$20,6),"")))))))</f>
        <v/>
      </c>
      <c r="T148" s="194" t="str">
        <f t="shared" si="27"/>
        <v/>
      </c>
      <c r="U148" s="447" t="str">
        <f>IF(J148="Duplex",VLOOKUP(M148,'Características dos Cabos MX CH'!$C$12:$I$14,2),(IF(J148="Triplex",VLOOKUP(M148,'Características dos Cabos MX CH'!$C$15:$J$20,2),(IF(J148="Quadruplex",VLOOKUP(M148,'Características dos Cabos MX CH'!$C$21:$K$27,2),(IF(J148="13",VLOOKUP(M148,'Características dos Cabos MX CH'!$C$15:$L$20,2),"")))))))</f>
        <v/>
      </c>
      <c r="V148" s="193" t="str">
        <f>IF(J148="Duplex",VLOOKUP(M148,'Características dos Cabos MX CH'!$C$12:$I$14,3),(IF(J148="Triplex",VLOOKUP(M148,'Características dos Cabos MX CH'!$C$15:$J$20,3),(IF(J148="Quadruplex",VLOOKUP(M148,'Características dos Cabos MX CH'!$C$21:$K$27,3),(IF(J148="13",VLOOKUP(M148,'Características dos Cabos MX CH'!$C$15:$L$20,3),"")))))))</f>
        <v/>
      </c>
      <c r="W148" s="195" t="str">
        <f t="shared" si="30"/>
        <v/>
      </c>
      <c r="X148" s="195" t="str">
        <f t="shared" si="31"/>
        <v/>
      </c>
      <c r="Y148" s="196" t="str">
        <f t="shared" si="32"/>
        <v/>
      </c>
      <c r="AA148" s="396">
        <f t="shared" si="33"/>
        <v>0</v>
      </c>
      <c r="AB148" s="396">
        <f t="shared" si="26"/>
        <v>0</v>
      </c>
      <c r="AC148" s="395"/>
      <c r="AE148" s="357" t="str">
        <f t="shared" si="23"/>
        <v/>
      </c>
      <c r="AF148" s="426">
        <f t="shared" si="28"/>
        <v>0</v>
      </c>
    </row>
    <row r="149" spans="1:32" ht="15" customHeight="1">
      <c r="A149" s="696"/>
      <c r="B149" s="698"/>
      <c r="C149" s="568"/>
      <c r="D149" s="567"/>
      <c r="E149" s="372"/>
      <c r="F149" s="189" t="str">
        <f t="shared" si="34"/>
        <v/>
      </c>
      <c r="G149" s="384"/>
      <c r="H149" s="190" t="str">
        <f>IF(AND(E149="",G149=""),"",SUM(F149:G155))</f>
        <v/>
      </c>
      <c r="I149" s="191"/>
      <c r="J149" s="222"/>
      <c r="K149" s="222"/>
      <c r="L149" s="197" t="str">
        <f>IF(J149="Duplex",VLOOKUP(M149,'Características dos Cabos MX CH'!$C$12:$I$14,7),(IF(J149="Triplex",VLOOKUP(M149,'Características dos Cabos MX CH'!$C$15:$J$20,8),(IF(J149="Quadruplex",VLOOKUP(M149,'Características dos Cabos MX CH'!$C$21:$K$27,9),(IF(J149="13",VLOOKUP(M149,'Características dos Cabos MX CH'!$C$15:$L$20,10),"")))))))</f>
        <v/>
      </c>
      <c r="M149" s="350" t="str">
        <f t="shared" si="24"/>
        <v/>
      </c>
      <c r="N149" s="377"/>
      <c r="O149" s="192" t="str">
        <f t="shared" si="29"/>
        <v/>
      </c>
      <c r="P149" s="192" t="str">
        <f>IF(O149="","",SUM($O$146:O149)+$Z$146)</f>
        <v/>
      </c>
      <c r="Q149" s="192" t="str">
        <f t="shared" si="25"/>
        <v/>
      </c>
      <c r="R149" s="193" t="str">
        <f>IF(J149="Duplex",VLOOKUP(M149,'Características dos Cabos MX CH'!$C$12:$I$14,5),(IF(J149="Triplex",VLOOKUP(M149,'Características dos Cabos MX CH'!$C$15:$J$20,5),(IF(J149="Quadruplex",VLOOKUP(M149,'Características dos Cabos MX CH'!$C$21:$K$27,5),(IF(J149="13",VLOOKUP(M149,'Características dos Cabos MX CH'!$C$15:$L$20,5),"")))))))</f>
        <v/>
      </c>
      <c r="S149" s="193" t="str">
        <f>IF(J149="Duplex",VLOOKUP(M149,'Características dos Cabos MX CH'!$C$12:$I$14,6),(IF(J149="Triplex",VLOOKUP(M149,'Características dos Cabos MX CH'!$C$15:$J$20,6),(IF(J149="Quadruplex",VLOOKUP(M149,'Características dos Cabos MX CH'!$C$21:$K$27,6),(IF(J149="13",VLOOKUP(M149,'Características dos Cabos MX CH'!$C$15:$L$20,6),"")))))))</f>
        <v/>
      </c>
      <c r="T149" s="194" t="str">
        <f t="shared" si="27"/>
        <v/>
      </c>
      <c r="U149" s="447" t="str">
        <f>IF(J149="Duplex",VLOOKUP(M149,'Características dos Cabos MX CH'!$C$12:$I$14,2),(IF(J149="Triplex",VLOOKUP(M149,'Características dos Cabos MX CH'!$C$15:$J$20,2),(IF(J149="Quadruplex",VLOOKUP(M149,'Características dos Cabos MX CH'!$C$21:$K$27,2),(IF(J149="13",VLOOKUP(M149,'Características dos Cabos MX CH'!$C$15:$L$20,2),"")))))))</f>
        <v/>
      </c>
      <c r="V149" s="193" t="str">
        <f>IF(J149="Duplex",VLOOKUP(M149,'Características dos Cabos MX CH'!$C$12:$I$14,3),(IF(J149="Triplex",VLOOKUP(M149,'Características dos Cabos MX CH'!$C$15:$J$20,3),(IF(J149="Quadruplex",VLOOKUP(M149,'Características dos Cabos MX CH'!$C$21:$K$27,3),(IF(J149="13",VLOOKUP(M149,'Características dos Cabos MX CH'!$C$15:$L$20,3),"")))))))</f>
        <v/>
      </c>
      <c r="W149" s="195" t="str">
        <f t="shared" si="30"/>
        <v/>
      </c>
      <c r="X149" s="195" t="str">
        <f t="shared" si="31"/>
        <v/>
      </c>
      <c r="Y149" s="196" t="str">
        <f t="shared" si="32"/>
        <v/>
      </c>
      <c r="AA149" s="396">
        <f t="shared" si="33"/>
        <v>0</v>
      </c>
      <c r="AB149" s="396">
        <f t="shared" si="26"/>
        <v>0</v>
      </c>
      <c r="AC149" s="395"/>
      <c r="AE149" s="357" t="str">
        <f t="shared" si="35" ref="AE149:AE195">IF(OR(E149="",$G$11=""),"",IF($G$11&gt;0,E149*$G$11*($J$11/100+1)^($J$15-1),E149*$E$11*($J$11/100+1)^($J$15-1)))</f>
        <v/>
      </c>
      <c r="AF149" s="426">
        <f t="shared" si="28"/>
        <v>0</v>
      </c>
    </row>
    <row r="150" spans="1:32" ht="15" customHeight="1">
      <c r="A150" s="696"/>
      <c r="B150" s="698"/>
      <c r="C150" s="568"/>
      <c r="D150" s="567"/>
      <c r="E150" s="372"/>
      <c r="F150" s="189" t="str">
        <f t="shared" si="34"/>
        <v/>
      </c>
      <c r="G150" s="384"/>
      <c r="H150" s="190" t="str">
        <f>IF(AND(E150="",G150=""),"",SUM(F150:G155))</f>
        <v/>
      </c>
      <c r="I150" s="191"/>
      <c r="J150" s="222"/>
      <c r="K150" s="222"/>
      <c r="L150" s="197" t="str">
        <f>IF(J150="Duplex",VLOOKUP(M150,'Características dos Cabos MX CH'!$C$12:$I$14,7),(IF(J150="Triplex",VLOOKUP(M150,'Características dos Cabos MX CH'!$C$15:$J$20,8),(IF(J150="Quadruplex",VLOOKUP(M150,'Características dos Cabos MX CH'!$C$21:$K$27,9),(IF(J150="13",VLOOKUP(M150,'Características dos Cabos MX CH'!$C$15:$L$20,10),"")))))))</f>
        <v/>
      </c>
      <c r="M150" s="350" t="str">
        <f t="shared" si="24"/>
        <v/>
      </c>
      <c r="N150" s="377"/>
      <c r="O150" s="192" t="str">
        <f t="shared" si="29"/>
        <v/>
      </c>
      <c r="P150" s="192" t="str">
        <f>IF(O150="","",SUM($O$146:O150)+$Z$146)</f>
        <v/>
      </c>
      <c r="Q150" s="192" t="str">
        <f t="shared" si="25"/>
        <v/>
      </c>
      <c r="R150" s="193" t="str">
        <f>IF(J150="Duplex",VLOOKUP(M150,'Características dos Cabos MX CH'!$C$12:$I$14,5),(IF(J150="Triplex",VLOOKUP(M150,'Características dos Cabos MX CH'!$C$15:$J$20,5),(IF(J150="Quadruplex",VLOOKUP(M150,'Características dos Cabos MX CH'!$C$21:$K$27,5),(IF(J150="13",VLOOKUP(M150,'Características dos Cabos MX CH'!$C$15:$L$20,5),"")))))))</f>
        <v/>
      </c>
      <c r="S150" s="193" t="str">
        <f>IF(J150="Duplex",VLOOKUP(M150,'Características dos Cabos MX CH'!$C$12:$I$14,6),(IF(J150="Triplex",VLOOKUP(M150,'Características dos Cabos MX CH'!$C$15:$J$20,6),(IF(J150="Quadruplex",VLOOKUP(M150,'Características dos Cabos MX CH'!$C$21:$K$27,6),(IF(J150="13",VLOOKUP(M150,'Características dos Cabos MX CH'!$C$15:$L$20,6),"")))))))</f>
        <v/>
      </c>
      <c r="T150" s="194" t="str">
        <f t="shared" si="27"/>
        <v/>
      </c>
      <c r="U150" s="447" t="str">
        <f>IF(J150="Duplex",VLOOKUP(M150,'Características dos Cabos MX CH'!$C$12:$I$14,2),(IF(J150="Triplex",VLOOKUP(M150,'Características dos Cabos MX CH'!$C$15:$J$20,2),(IF(J150="Quadruplex",VLOOKUP(M150,'Características dos Cabos MX CH'!$C$21:$K$27,2),(IF(J150="13",VLOOKUP(M150,'Características dos Cabos MX CH'!$C$15:$L$20,2),"")))))))</f>
        <v/>
      </c>
      <c r="V150" s="193" t="str">
        <f>IF(J150="Duplex",VLOOKUP(M150,'Características dos Cabos MX CH'!$C$12:$I$14,3),(IF(J150="Triplex",VLOOKUP(M150,'Características dos Cabos MX CH'!$C$15:$J$20,3),(IF(J150="Quadruplex",VLOOKUP(M150,'Características dos Cabos MX CH'!$C$21:$K$27,3),(IF(J150="13",VLOOKUP(M150,'Características dos Cabos MX CH'!$C$15:$L$20,3),"")))))))</f>
        <v/>
      </c>
      <c r="W150" s="195" t="str">
        <f t="shared" si="30"/>
        <v/>
      </c>
      <c r="X150" s="195" t="str">
        <f t="shared" si="31"/>
        <v/>
      </c>
      <c r="Y150" s="196" t="str">
        <f t="shared" si="32"/>
        <v/>
      </c>
      <c r="AA150" s="396">
        <f t="shared" si="33"/>
        <v>0</v>
      </c>
      <c r="AB150" s="396">
        <f t="shared" si="26"/>
        <v>0</v>
      </c>
      <c r="AC150" s="395"/>
      <c r="AE150" s="357" t="str">
        <f t="shared" si="35"/>
        <v/>
      </c>
      <c r="AF150" s="426">
        <f t="shared" si="28"/>
        <v>0</v>
      </c>
    </row>
    <row r="151" spans="1:32" ht="15" customHeight="1">
      <c r="A151" s="696"/>
      <c r="B151" s="698"/>
      <c r="C151" s="568"/>
      <c r="D151" s="567"/>
      <c r="E151" s="372"/>
      <c r="F151" s="189" t="str">
        <f t="shared" si="34"/>
        <v/>
      </c>
      <c r="G151" s="384"/>
      <c r="H151" s="190" t="str">
        <f>IF(AND(E151="",G151=""),"",SUM(F151:G155))</f>
        <v/>
      </c>
      <c r="I151" s="191"/>
      <c r="J151" s="222"/>
      <c r="K151" s="222"/>
      <c r="L151" s="197" t="str">
        <f>IF(J151="Duplex",VLOOKUP(M151,'Características dos Cabos MX CH'!$C$12:$I$14,7),(IF(J151="Triplex",VLOOKUP(M151,'Características dos Cabos MX CH'!$C$15:$J$20,8),(IF(J151="Quadruplex",VLOOKUP(M151,'Características dos Cabos MX CH'!$C$21:$K$27,9),(IF(J151="13",VLOOKUP(M151,'Características dos Cabos MX CH'!$C$15:$L$20,10),"")))))))</f>
        <v/>
      </c>
      <c r="M151" s="350" t="str">
        <f t="shared" si="36" ref="M151:M195">IF(K151=10,"a",IF(K151=16,"b",IF(K151=25,"c",IF(K151=35,"d",IF(K151=50,"e",(IF(K151=70,"f",(IF(K151=120,"g","")))))))))</f>
        <v/>
      </c>
      <c r="N151" s="377"/>
      <c r="O151" s="192" t="str">
        <f t="shared" si="29"/>
        <v/>
      </c>
      <c r="P151" s="192" t="str">
        <f>IF(O151="","",SUM($O$146:O151)+$Z$146)</f>
        <v/>
      </c>
      <c r="Q151" s="192" t="str">
        <f t="shared" si="37" ref="Q151:Q195">IF(H151="","",IF(J151="Quadruplex",H151*1000/($D$13*SQRT(3)),IF(J151="Triplex",H151*1000*SQRT(3)/($D$13*2),IF(J151="Duplex",H151*1000*SQRT(3)/$D$13,IF(J151="13",H151*1000/$D$15,IF(J151="12",H151*1000*2/$D$15,"erro"))))))</f>
        <v/>
      </c>
      <c r="R151" s="193" t="str">
        <f>IF(J151="Duplex",VLOOKUP(M151,'Características dos Cabos MX CH'!$C$12:$I$14,5),(IF(J151="Triplex",VLOOKUP(M151,'Características dos Cabos MX CH'!$C$15:$J$20,5),(IF(J151="Quadruplex",VLOOKUP(M151,'Características dos Cabos MX CH'!$C$21:$K$27,5),(IF(J151="13",VLOOKUP(M151,'Características dos Cabos MX CH'!$C$15:$L$20,5),"")))))))</f>
        <v/>
      </c>
      <c r="S151" s="193" t="str">
        <f>IF(J151="Duplex",VLOOKUP(M151,'Características dos Cabos MX CH'!$C$12:$I$14,6),(IF(J151="Triplex",VLOOKUP(M151,'Características dos Cabos MX CH'!$C$15:$J$20,6),(IF(J151="Quadruplex",VLOOKUP(M151,'Características dos Cabos MX CH'!$C$21:$K$27,6),(IF(J151="13",VLOOKUP(M151,'Características dos Cabos MX CH'!$C$15:$L$20,6),"")))))))</f>
        <v/>
      </c>
      <c r="T151" s="194" t="str">
        <f t="shared" si="27"/>
        <v/>
      </c>
      <c r="U151" s="447" t="str">
        <f>IF(J151="Duplex",VLOOKUP(M151,'Características dos Cabos MX CH'!$C$12:$I$14,2),(IF(J151="Triplex",VLOOKUP(M151,'Características dos Cabos MX CH'!$C$15:$J$20,2),(IF(J151="Quadruplex",VLOOKUP(M151,'Características dos Cabos MX CH'!$C$21:$K$27,2),(IF(J151="13",VLOOKUP(M151,'Características dos Cabos MX CH'!$C$15:$L$20,2),"")))))))</f>
        <v/>
      </c>
      <c r="V151" s="193" t="str">
        <f>IF(J151="Duplex",VLOOKUP(M151,'Características dos Cabos MX CH'!$C$12:$I$14,3),(IF(J151="Triplex",VLOOKUP(M151,'Características dos Cabos MX CH'!$C$15:$J$20,3),(IF(J151="Quadruplex",VLOOKUP(M151,'Características dos Cabos MX CH'!$C$21:$K$27,3),(IF(J151="13",VLOOKUP(M151,'Características dos Cabos MX CH'!$C$15:$L$20,3),"")))))))</f>
        <v/>
      </c>
      <c r="W151" s="195" t="str">
        <f t="shared" si="30"/>
        <v/>
      </c>
      <c r="X151" s="195" t="str">
        <f t="shared" si="31"/>
        <v/>
      </c>
      <c r="Y151" s="196" t="str">
        <f t="shared" si="32"/>
        <v/>
      </c>
      <c r="AA151" s="396">
        <f t="shared" si="33"/>
        <v>0</v>
      </c>
      <c r="AB151" s="396">
        <f t="shared" si="38" ref="AB151:AB195">K151</f>
        <v>0</v>
      </c>
      <c r="AC151" s="395"/>
      <c r="AE151" s="357" t="str">
        <f t="shared" si="35"/>
        <v/>
      </c>
      <c r="AF151" s="426">
        <f t="shared" si="28"/>
        <v>0</v>
      </c>
    </row>
    <row r="152" spans="1:32" ht="15" customHeight="1">
      <c r="A152" s="696"/>
      <c r="B152" s="698"/>
      <c r="C152" s="568"/>
      <c r="D152" s="567"/>
      <c r="E152" s="372"/>
      <c r="F152" s="189" t="str">
        <f t="shared" si="34"/>
        <v/>
      </c>
      <c r="G152" s="384"/>
      <c r="H152" s="190" t="str">
        <f>IF(AND(E152="",G152=""),"",SUM(F152:G155))</f>
        <v/>
      </c>
      <c r="I152" s="191"/>
      <c r="J152" s="222"/>
      <c r="K152" s="222"/>
      <c r="L152" s="197" t="str">
        <f>IF(J152="Duplex",VLOOKUP(M152,'Características dos Cabos MX CH'!$C$12:$I$14,7),(IF(J152="Triplex",VLOOKUP(M152,'Características dos Cabos MX CH'!$C$15:$J$20,8),(IF(J152="Quadruplex",VLOOKUP(M152,'Características dos Cabos MX CH'!$C$21:$K$27,9),(IF(J152="13",VLOOKUP(M152,'Características dos Cabos MX CH'!$C$15:$L$20,10),"")))))))</f>
        <v/>
      </c>
      <c r="M152" s="350" t="str">
        <f t="shared" si="36"/>
        <v/>
      </c>
      <c r="N152" s="377"/>
      <c r="O152" s="192" t="str">
        <f t="shared" si="29"/>
        <v/>
      </c>
      <c r="P152" s="192" t="str">
        <f>IF(O152="","",SUM($O$146:O152)+$Z$146)</f>
        <v/>
      </c>
      <c r="Q152" s="192" t="str">
        <f t="shared" si="37"/>
        <v/>
      </c>
      <c r="R152" s="193" t="str">
        <f>IF(J152="Duplex",VLOOKUP(M152,'Características dos Cabos MX CH'!$C$12:$I$14,5),(IF(J152="Triplex",VLOOKUP(M152,'Características dos Cabos MX CH'!$C$15:$J$20,5),(IF(J152="Quadruplex",VLOOKUP(M152,'Características dos Cabos MX CH'!$C$21:$K$27,5),(IF(J152="13",VLOOKUP(M152,'Características dos Cabos MX CH'!$C$15:$L$20,5),"")))))))</f>
        <v/>
      </c>
      <c r="S152" s="193" t="str">
        <f>IF(J152="Duplex",VLOOKUP(M152,'Características dos Cabos MX CH'!$C$12:$I$14,6),(IF(J152="Triplex",VLOOKUP(M152,'Características dos Cabos MX CH'!$C$15:$J$20,6),(IF(J152="Quadruplex",VLOOKUP(M152,'Características dos Cabos MX CH'!$C$21:$K$27,6),(IF(J152="13",VLOOKUP(M152,'Características dos Cabos MX CH'!$C$15:$L$20,6),"")))))))</f>
        <v/>
      </c>
      <c r="T152" s="194" t="str">
        <f t="shared" si="27"/>
        <v/>
      </c>
      <c r="U152" s="447" t="str">
        <f>IF(J152="Duplex",VLOOKUP(M152,'Características dos Cabos MX CH'!$C$12:$I$14,2),(IF(J152="Triplex",VLOOKUP(M152,'Características dos Cabos MX CH'!$C$15:$J$20,2),(IF(J152="Quadruplex",VLOOKUP(M152,'Características dos Cabos MX CH'!$C$21:$K$27,2),(IF(J152="13",VLOOKUP(M152,'Características dos Cabos MX CH'!$C$15:$L$20,2),"")))))))</f>
        <v/>
      </c>
      <c r="V152" s="193" t="str">
        <f>IF(J152="Duplex",VLOOKUP(M152,'Características dos Cabos MX CH'!$C$12:$I$14,3),(IF(J152="Triplex",VLOOKUP(M152,'Características dos Cabos MX CH'!$C$15:$J$20,3),(IF(J152="Quadruplex",VLOOKUP(M152,'Características dos Cabos MX CH'!$C$21:$K$27,3),(IF(J152="13",VLOOKUP(M152,'Características dos Cabos MX CH'!$C$15:$L$20,3),"")))))))</f>
        <v/>
      </c>
      <c r="W152" s="195" t="str">
        <f t="shared" si="30"/>
        <v/>
      </c>
      <c r="X152" s="195" t="str">
        <f t="shared" si="31"/>
        <v/>
      </c>
      <c r="Y152" s="196" t="str">
        <f t="shared" si="32"/>
        <v/>
      </c>
      <c r="AA152" s="396">
        <f t="shared" si="33"/>
        <v>0</v>
      </c>
      <c r="AB152" s="396">
        <f t="shared" si="38"/>
        <v>0</v>
      </c>
      <c r="AC152" s="395"/>
      <c r="AE152" s="357" t="str">
        <f t="shared" si="35"/>
        <v/>
      </c>
      <c r="AF152" s="426">
        <f t="shared" si="28"/>
        <v>0</v>
      </c>
    </row>
    <row r="153" spans="1:32" ht="15" customHeight="1">
      <c r="A153" s="696"/>
      <c r="B153" s="698"/>
      <c r="C153" s="568"/>
      <c r="D153" s="368"/>
      <c r="E153" s="372"/>
      <c r="F153" s="189" t="str">
        <f t="shared" si="34"/>
        <v/>
      </c>
      <c r="G153" s="384"/>
      <c r="H153" s="190" t="str">
        <f>IF(AND(E153="",G153=""),"",SUM(F153:G155))</f>
        <v/>
      </c>
      <c r="I153" s="191"/>
      <c r="J153" s="222"/>
      <c r="K153" s="222"/>
      <c r="L153" s="197" t="str">
        <f>IF(J153="Duplex",VLOOKUP(M153,'Características dos Cabos MX CH'!$C$12:$I$14,7),(IF(J153="Triplex",VLOOKUP(M153,'Características dos Cabos MX CH'!$C$15:$J$20,8),(IF(J153="Quadruplex",VLOOKUP(M153,'Características dos Cabos MX CH'!$C$21:$K$27,9),(IF(J153="13",VLOOKUP(M153,'Características dos Cabos MX CH'!$C$15:$L$20,10),"")))))))</f>
        <v/>
      </c>
      <c r="M153" s="350" t="str">
        <f t="shared" si="36"/>
        <v/>
      </c>
      <c r="N153" s="377"/>
      <c r="O153" s="192" t="str">
        <f t="shared" si="29"/>
        <v/>
      </c>
      <c r="P153" s="192" t="str">
        <f>IF(O153="","",SUM($O$146:O153)+$Z$146)</f>
        <v/>
      </c>
      <c r="Q153" s="192" t="str">
        <f t="shared" si="37"/>
        <v/>
      </c>
      <c r="R153" s="193" t="str">
        <f>IF(J153="Duplex",VLOOKUP(M153,'Características dos Cabos MX CH'!$C$12:$I$14,5),(IF(J153="Triplex",VLOOKUP(M153,'Características dos Cabos MX CH'!$C$15:$J$20,5),(IF(J153="Quadruplex",VLOOKUP(M153,'Características dos Cabos MX CH'!$C$21:$K$27,5),(IF(J153="13",VLOOKUP(M153,'Características dos Cabos MX CH'!$C$15:$L$20,5),"")))))))</f>
        <v/>
      </c>
      <c r="S153" s="193" t="str">
        <f>IF(J153="Duplex",VLOOKUP(M153,'Características dos Cabos MX CH'!$C$12:$I$14,6),(IF(J153="Triplex",VLOOKUP(M153,'Características dos Cabos MX CH'!$C$15:$J$20,6),(IF(J153="Quadruplex",VLOOKUP(M153,'Características dos Cabos MX CH'!$C$21:$K$27,6),(IF(J153="13",VLOOKUP(M153,'Características dos Cabos MX CH'!$C$15:$L$20,6),"")))))))</f>
        <v/>
      </c>
      <c r="T153" s="194" t="str">
        <f t="shared" si="27"/>
        <v/>
      </c>
      <c r="U153" s="447" t="str">
        <f>IF(J153="Duplex",VLOOKUP(M153,'Características dos Cabos MX CH'!$C$12:$I$14,2),(IF(J153="Triplex",VLOOKUP(M153,'Características dos Cabos MX CH'!$C$15:$J$20,2),(IF(J153="Quadruplex",VLOOKUP(M153,'Características dos Cabos MX CH'!$C$21:$K$27,2),(IF(J153="13",VLOOKUP(M153,'Características dos Cabos MX CH'!$C$15:$L$20,2),"")))))))</f>
        <v/>
      </c>
      <c r="V153" s="193" t="str">
        <f>IF(J153="Duplex",VLOOKUP(M153,'Características dos Cabos MX CH'!$C$12:$I$14,3),(IF(J153="Triplex",VLOOKUP(M153,'Características dos Cabos MX CH'!$C$15:$J$20,3),(IF(J153="Quadruplex",VLOOKUP(M153,'Características dos Cabos MX CH'!$C$21:$K$27,3),(IF(J153="13",VLOOKUP(M153,'Características dos Cabos MX CH'!$C$15:$L$20,3),"")))))))</f>
        <v/>
      </c>
      <c r="W153" s="195" t="str">
        <f t="shared" si="30"/>
        <v/>
      </c>
      <c r="X153" s="195" t="str">
        <f t="shared" si="31"/>
        <v/>
      </c>
      <c r="Y153" s="196" t="str">
        <f t="shared" si="32"/>
        <v/>
      </c>
      <c r="AA153" s="396">
        <f t="shared" si="33"/>
        <v>0</v>
      </c>
      <c r="AB153" s="396">
        <f t="shared" si="38"/>
        <v>0</v>
      </c>
      <c r="AC153" s="395"/>
      <c r="AE153" s="357" t="str">
        <f t="shared" si="35"/>
        <v/>
      </c>
      <c r="AF153" s="426">
        <f t="shared" si="28"/>
        <v>0</v>
      </c>
    </row>
    <row r="154" spans="1:32" ht="15" customHeight="1">
      <c r="A154" s="696"/>
      <c r="B154" s="698"/>
      <c r="C154" s="568"/>
      <c r="D154" s="368"/>
      <c r="E154" s="372"/>
      <c r="F154" s="189" t="str">
        <f t="shared" si="34"/>
        <v/>
      </c>
      <c r="G154" s="384"/>
      <c r="H154" s="190" t="str">
        <f>IF(AND(E154="",G154=""),"",SUM(F154:G155))</f>
        <v/>
      </c>
      <c r="I154" s="191"/>
      <c r="J154" s="222"/>
      <c r="K154" s="222"/>
      <c r="L154" s="197" t="str">
        <f>IF(J154="Duplex",VLOOKUP(M154,'Características dos Cabos MX CH'!$C$12:$I$14,7),(IF(J154="Triplex",VLOOKUP(M154,'Características dos Cabos MX CH'!$C$15:$J$20,8),(IF(J154="Quadruplex",VLOOKUP(M154,'Características dos Cabos MX CH'!$C$21:$K$27,9),(IF(J154="13",VLOOKUP(M154,'Características dos Cabos MX CH'!$C$15:$L$20,10),"")))))))</f>
        <v/>
      </c>
      <c r="M154" s="350" t="str">
        <f t="shared" si="36"/>
        <v/>
      </c>
      <c r="N154" s="377"/>
      <c r="O154" s="192" t="str">
        <f t="shared" si="29"/>
        <v/>
      </c>
      <c r="P154" s="192" t="str">
        <f>IF(O154="","",SUM($O$146:O154)+$Z$146)</f>
        <v/>
      </c>
      <c r="Q154" s="192" t="str">
        <f t="shared" si="37"/>
        <v/>
      </c>
      <c r="R154" s="193" t="str">
        <f>IF(J154="Duplex",VLOOKUP(M154,'Características dos Cabos MX CH'!$C$12:$I$14,5),(IF(J154="Triplex",VLOOKUP(M154,'Características dos Cabos MX CH'!$C$15:$J$20,5),(IF(J154="Quadruplex",VLOOKUP(M154,'Características dos Cabos MX CH'!$C$21:$K$27,5),(IF(J154="13",VLOOKUP(M154,'Características dos Cabos MX CH'!$C$15:$L$20,5),"")))))))</f>
        <v/>
      </c>
      <c r="S154" s="193" t="str">
        <f>IF(J154="Duplex",VLOOKUP(M154,'Características dos Cabos MX CH'!$C$12:$I$14,6),(IF(J154="Triplex",VLOOKUP(M154,'Características dos Cabos MX CH'!$C$15:$J$20,6),(IF(J154="Quadruplex",VLOOKUP(M154,'Características dos Cabos MX CH'!$C$21:$K$27,6),(IF(J154="13",VLOOKUP(M154,'Características dos Cabos MX CH'!$C$15:$L$20,6),"")))))))</f>
        <v/>
      </c>
      <c r="T154" s="194" t="str">
        <f t="shared" si="27"/>
        <v/>
      </c>
      <c r="U154" s="447" t="str">
        <f>IF(J154="Duplex",VLOOKUP(M154,'Características dos Cabos MX CH'!$C$12:$I$14,2),(IF(J154="Triplex",VLOOKUP(M154,'Características dos Cabos MX CH'!$C$15:$J$20,2),(IF(J154="Quadruplex",VLOOKUP(M154,'Características dos Cabos MX CH'!$C$21:$K$27,2),(IF(J154="13",VLOOKUP(M154,'Características dos Cabos MX CH'!$C$15:$L$20,2),"")))))))</f>
        <v/>
      </c>
      <c r="V154" s="193" t="str">
        <f>IF(J154="Duplex",VLOOKUP(M154,'Características dos Cabos MX CH'!$C$12:$I$14,3),(IF(J154="Triplex",VLOOKUP(M154,'Características dos Cabos MX CH'!$C$15:$J$20,3),(IF(J154="Quadruplex",VLOOKUP(M154,'Características dos Cabos MX CH'!$C$21:$K$27,3),(IF(J154="13",VLOOKUP(M154,'Características dos Cabos MX CH'!$C$15:$L$20,3),"")))))))</f>
        <v/>
      </c>
      <c r="W154" s="195" t="str">
        <f t="shared" si="30"/>
        <v/>
      </c>
      <c r="X154" s="195" t="str">
        <f t="shared" si="31"/>
        <v/>
      </c>
      <c r="Y154" s="196" t="str">
        <f t="shared" si="32"/>
        <v/>
      </c>
      <c r="AA154" s="396">
        <f t="shared" si="33"/>
        <v>0</v>
      </c>
      <c r="AB154" s="396">
        <f t="shared" si="38"/>
        <v>0</v>
      </c>
      <c r="AC154" s="395"/>
      <c r="AE154" s="357" t="str">
        <f t="shared" si="35"/>
        <v/>
      </c>
      <c r="AF154" s="426">
        <f t="shared" si="28"/>
        <v>0</v>
      </c>
    </row>
    <row r="155" spans="1:32" ht="15" customHeight="1" thickBot="1">
      <c r="A155" s="696"/>
      <c r="B155" s="699"/>
      <c r="C155" s="568"/>
      <c r="D155" s="370"/>
      <c r="E155" s="369"/>
      <c r="F155" s="199" t="str">
        <f t="shared" si="34"/>
        <v/>
      </c>
      <c r="G155" s="385"/>
      <c r="H155" s="200" t="str">
        <f>IF(AND(E155="",G155=""),"",SUM(F155:G155))</f>
        <v/>
      </c>
      <c r="I155" s="201"/>
      <c r="J155" s="223"/>
      <c r="K155" s="223"/>
      <c r="L155" s="202" t="str">
        <f>IF(J155="Duplex",VLOOKUP(M155,'Características dos Cabos MX CH'!$C$12:$I$14,7),(IF(J155="Triplex",VLOOKUP(M155,'Características dos Cabos MX CH'!$C$15:$J$20,8),(IF(J155="Quadruplex",VLOOKUP(M155,'Características dos Cabos MX CH'!$C$21:$K$27,9),(IF(J155="13",VLOOKUP(M155,'Características dos Cabos MX CH'!$C$15:$L$20,10),"")))))))</f>
        <v/>
      </c>
      <c r="M155" s="353" t="str">
        <f t="shared" si="36"/>
        <v/>
      </c>
      <c r="N155" s="378"/>
      <c r="O155" s="203" t="str">
        <f t="shared" si="29"/>
        <v/>
      </c>
      <c r="P155" s="192" t="str">
        <f>IF(O155="","",SUM($O$146:O155)+$Z$146)</f>
        <v/>
      </c>
      <c r="Q155" s="203" t="str">
        <f t="shared" si="37"/>
        <v/>
      </c>
      <c r="R155" s="204" t="str">
        <f>IF(J155="Duplex",VLOOKUP(M155,'Características dos Cabos MX CH'!$C$12:$I$14,5),(IF(J155="Triplex",VLOOKUP(M155,'Características dos Cabos MX CH'!$C$15:$J$20,5),(IF(J155="Quadruplex",VLOOKUP(M155,'Características dos Cabos MX CH'!$C$21:$K$27,5),(IF(J155="13",VLOOKUP(M155,'Características dos Cabos MX CH'!$C$15:$L$20,5),"")))))))</f>
        <v/>
      </c>
      <c r="S155" s="204" t="str">
        <f>IF(J155="Duplex",VLOOKUP(M155,'Características dos Cabos MX CH'!$C$12:$I$14,6),(IF(J155="Triplex",VLOOKUP(M155,'Características dos Cabos MX CH'!$C$15:$J$20,6),(IF(J155="Quadruplex",VLOOKUP(M155,'Características dos Cabos MX CH'!$C$21:$K$27,6),(IF(J155="13",VLOOKUP(M155,'Características dos Cabos MX CH'!$C$15:$L$20,6),"")))))))</f>
        <v/>
      </c>
      <c r="T155" s="205" t="str">
        <f t="shared" si="27"/>
        <v/>
      </c>
      <c r="U155" s="448" t="str">
        <f>IF(J155="Duplex",VLOOKUP(M155,'Características dos Cabos MX CH'!$C$12:$I$14,2),(IF(J155="Triplex",VLOOKUP(M155,'Características dos Cabos MX CH'!$C$15:$J$20,2),(IF(J155="Quadruplex",VLOOKUP(M155,'Características dos Cabos MX CH'!$C$21:$K$27,2),(IF(J155="13",VLOOKUP(M155,'Características dos Cabos MX CH'!$C$15:$L$20,2),"")))))))</f>
        <v/>
      </c>
      <c r="V155" s="204" t="str">
        <f>IF(J155="Duplex",VLOOKUP(M155,'Características dos Cabos MX CH'!$C$12:$I$14,3),(IF(J155="Triplex",VLOOKUP(M155,'Características dos Cabos MX CH'!$C$15:$J$20,3),(IF(J155="Quadruplex",VLOOKUP(M155,'Características dos Cabos MX CH'!$C$21:$K$27,3),(IF(J155="13",VLOOKUP(M155,'Características dos Cabos MX CH'!$C$15:$L$20,3),"")))))))</f>
        <v/>
      </c>
      <c r="W155" s="206" t="str">
        <f t="shared" si="30"/>
        <v/>
      </c>
      <c r="X155" s="206" t="str">
        <f t="shared" si="31"/>
        <v/>
      </c>
      <c r="Y155" s="207" t="str">
        <f t="shared" si="32"/>
        <v/>
      </c>
      <c r="AA155" s="396">
        <f t="shared" si="33"/>
        <v>0</v>
      </c>
      <c r="AB155" s="396">
        <f t="shared" si="38"/>
        <v>0</v>
      </c>
      <c r="AC155" s="395"/>
      <c r="AE155" s="357" t="str">
        <f t="shared" si="35"/>
        <v/>
      </c>
      <c r="AF155" s="426">
        <f t="shared" si="28"/>
        <v>0</v>
      </c>
    </row>
    <row r="156" spans="1:32" ht="15" customHeight="1" thickTop="1">
      <c r="A156" s="696"/>
      <c r="B156" s="700" t="str">
        <f>CONCATENATE("Ramal 12 - Derivando no ponto ",C156)</f>
        <v xml:space="preserve">Ramal 12 - Derivando no ponto </v>
      </c>
      <c r="C156" s="572"/>
      <c r="D156" s="573"/>
      <c r="E156" s="374"/>
      <c r="F156" s="208" t="str">
        <f t="shared" si="34"/>
        <v/>
      </c>
      <c r="G156" s="386"/>
      <c r="H156" s="209" t="str">
        <f>IF(AND(E156="",G156=""),"",SUM(F156:G165))</f>
        <v/>
      </c>
      <c r="I156" s="210"/>
      <c r="J156" s="224"/>
      <c r="K156" s="224"/>
      <c r="L156" s="211" t="str">
        <f>IF(J156="Duplex",VLOOKUP(M156,'Características dos Cabos MX CH'!$C$12:$I$14,7),(IF(J156="Triplex",VLOOKUP(M156,'Características dos Cabos MX CH'!$C$15:$J$20,8),(IF(J156="Quadruplex",VLOOKUP(M156,'Características dos Cabos MX CH'!$C$21:$K$27,9),(IF(J156="13",VLOOKUP(M156,'Características dos Cabos MX CH'!$C$15:$L$20,10),"")))))))</f>
        <v/>
      </c>
      <c r="M156" s="354" t="str">
        <f t="shared" si="36"/>
        <v/>
      </c>
      <c r="N156" s="379"/>
      <c r="O156" s="212" t="str">
        <f t="shared" si="29"/>
        <v/>
      </c>
      <c r="P156" s="217" t="str">
        <f>IF(O156="","",O156+VLOOKUP(C156,$D$20:$Q$155,13,FALSE))</f>
        <v/>
      </c>
      <c r="Q156" s="212" t="str">
        <f t="shared" si="37"/>
        <v/>
      </c>
      <c r="R156" s="213" t="str">
        <f>IF(J156="Duplex",VLOOKUP(M156,'Características dos Cabos MX CH'!$C$12:$I$14,5),(IF(J156="Triplex",VLOOKUP(M156,'Características dos Cabos MX CH'!$C$15:$J$20,5),(IF(J156="Quadruplex",VLOOKUP(M156,'Características dos Cabos MX CH'!$C$21:$K$27,5),(IF(J156="13",VLOOKUP(M156,'Características dos Cabos MX CH'!$C$15:$L$20,5),"")))))))</f>
        <v/>
      </c>
      <c r="S156" s="213" t="str">
        <f>IF(J156="Duplex",VLOOKUP(M156,'Características dos Cabos MX CH'!$C$12:$I$14,6),(IF(J156="Triplex",VLOOKUP(M156,'Características dos Cabos MX CH'!$C$15:$J$20,6),(IF(J156="Quadruplex",VLOOKUP(M156,'Características dos Cabos MX CH'!$C$21:$K$27,6),(IF(J156="13",VLOOKUP(M156,'Características dos Cabos MX CH'!$C$15:$L$20,6),"")))))))</f>
        <v/>
      </c>
      <c r="T156" s="214" t="str">
        <f t="shared" si="27"/>
        <v/>
      </c>
      <c r="U156" s="450" t="str">
        <f>IF(J156="Duplex",VLOOKUP(M156,'Características dos Cabos MX CH'!$C$12:$I$14,2),(IF(J156="Triplex",VLOOKUP(M156,'Características dos Cabos MX CH'!$C$15:$J$20,2),(IF(J156="Quadruplex",VLOOKUP(M156,'Características dos Cabos MX CH'!$C$21:$K$27,2),(IF(J156="13",VLOOKUP(M156,'Características dos Cabos MX CH'!$C$15:$L$20,2),"")))))))</f>
        <v/>
      </c>
      <c r="V156" s="213" t="str">
        <f>IF(J156="Duplex",VLOOKUP(M156,'Características dos Cabos MX CH'!$C$12:$I$14,3),(IF(J156="Triplex",VLOOKUP(M156,'Características dos Cabos MX CH'!$C$15:$J$20,3),(IF(J156="Quadruplex",VLOOKUP(M156,'Características dos Cabos MX CH'!$C$21:$K$27,3),(IF(J156="13",VLOOKUP(M156,'Características dos Cabos MX CH'!$C$15:$L$20,3),"")))))))</f>
        <v/>
      </c>
      <c r="W156" s="215" t="str">
        <f t="shared" si="30"/>
        <v/>
      </c>
      <c r="X156" s="215" t="str">
        <f t="shared" si="31"/>
        <v/>
      </c>
      <c r="Y156" s="216" t="str">
        <f t="shared" si="32"/>
        <v/>
      </c>
      <c r="Z156" s="393" t="str">
        <f>IF(O156="","",VLOOKUP(C156,$D$20:$P$155,13,FALSE))</f>
        <v/>
      </c>
      <c r="AA156" s="396">
        <f t="shared" si="33"/>
        <v>0</v>
      </c>
      <c r="AB156" s="396">
        <f t="shared" si="38"/>
        <v>0</v>
      </c>
      <c r="AC156" s="395"/>
      <c r="AE156" s="357" t="str">
        <f t="shared" si="35"/>
        <v/>
      </c>
      <c r="AF156" s="426">
        <f t="shared" si="28"/>
        <v>0</v>
      </c>
    </row>
    <row r="157" spans="1:32" ht="15" customHeight="1">
      <c r="A157" s="696"/>
      <c r="B157" s="698"/>
      <c r="C157" s="562"/>
      <c r="D157" s="567"/>
      <c r="E157" s="372"/>
      <c r="F157" s="189" t="str">
        <f t="shared" si="34"/>
        <v/>
      </c>
      <c r="G157" s="384"/>
      <c r="H157" s="190" t="str">
        <f>IF(AND(E157="",G157=""),"",SUM(F157:G165))</f>
        <v/>
      </c>
      <c r="I157" s="191"/>
      <c r="J157" s="222"/>
      <c r="K157" s="222"/>
      <c r="L157" s="197" t="str">
        <f>IF(J157="Duplex",VLOOKUP(M157,'Características dos Cabos MX CH'!$C$12:$I$14,7),(IF(J157="Triplex",VLOOKUP(M157,'Características dos Cabos MX CH'!$C$15:$J$20,8),(IF(J157="Quadruplex",VLOOKUP(M157,'Características dos Cabos MX CH'!$C$21:$K$27,9),(IF(J157="13",VLOOKUP(M157,'Características dos Cabos MX CH'!$C$15:$L$20,10),"")))))))</f>
        <v/>
      </c>
      <c r="M157" s="350" t="str">
        <f t="shared" si="36"/>
        <v/>
      </c>
      <c r="N157" s="377"/>
      <c r="O157" s="192" t="str">
        <f t="shared" si="29"/>
        <v/>
      </c>
      <c r="P157" s="192" t="str">
        <f>IF(O157="","",SUM($O$156:O157)+$Z$156)</f>
        <v/>
      </c>
      <c r="Q157" s="192" t="str">
        <f t="shared" si="37"/>
        <v/>
      </c>
      <c r="R157" s="193" t="str">
        <f>IF(J157="Duplex",VLOOKUP(M157,'Características dos Cabos MX CH'!$C$12:$I$14,5),(IF(J157="Triplex",VLOOKUP(M157,'Características dos Cabos MX CH'!$C$15:$J$20,5),(IF(J157="Quadruplex",VLOOKUP(M157,'Características dos Cabos MX CH'!$C$21:$K$27,5),(IF(J157="13",VLOOKUP(M157,'Características dos Cabos MX CH'!$C$15:$L$20,5),"")))))))</f>
        <v/>
      </c>
      <c r="S157" s="193" t="str">
        <f>IF(J157="Duplex",VLOOKUP(M157,'Características dos Cabos MX CH'!$C$12:$I$14,6),(IF(J157="Triplex",VLOOKUP(M157,'Características dos Cabos MX CH'!$C$15:$J$20,6),(IF(J157="Quadruplex",VLOOKUP(M157,'Características dos Cabos MX CH'!$C$21:$K$27,6),(IF(J157="13",VLOOKUP(M157,'Características dos Cabos MX CH'!$C$15:$L$20,6),"")))))))</f>
        <v/>
      </c>
      <c r="T157" s="194" t="str">
        <f t="shared" si="27"/>
        <v/>
      </c>
      <c r="U157" s="447" t="str">
        <f>IF(J157="Duplex",VLOOKUP(M157,'Características dos Cabos MX CH'!$C$12:$I$14,2),(IF(J157="Triplex",VLOOKUP(M157,'Características dos Cabos MX CH'!$C$15:$J$20,2),(IF(J157="Quadruplex",VLOOKUP(M157,'Características dos Cabos MX CH'!$C$21:$K$27,2),(IF(J157="13",VLOOKUP(M157,'Características dos Cabos MX CH'!$C$15:$L$20,2),"")))))))</f>
        <v/>
      </c>
      <c r="V157" s="193" t="str">
        <f>IF(J157="Duplex",VLOOKUP(M157,'Características dos Cabos MX CH'!$C$12:$I$14,3),(IF(J157="Triplex",VLOOKUP(M157,'Características dos Cabos MX CH'!$C$15:$J$20,3),(IF(J157="Quadruplex",VLOOKUP(M157,'Características dos Cabos MX CH'!$C$21:$K$27,3),(IF(J157="13",VLOOKUP(M157,'Características dos Cabos MX CH'!$C$15:$L$20,3),"")))))))</f>
        <v/>
      </c>
      <c r="W157" s="195" t="str">
        <f t="shared" si="30"/>
        <v/>
      </c>
      <c r="X157" s="195" t="str">
        <f t="shared" si="31"/>
        <v/>
      </c>
      <c r="Y157" s="196" t="str">
        <f t="shared" si="32"/>
        <v/>
      </c>
      <c r="AA157" s="396">
        <f t="shared" si="33"/>
        <v>0</v>
      </c>
      <c r="AB157" s="396">
        <f t="shared" si="38"/>
        <v>0</v>
      </c>
      <c r="AC157" s="395"/>
      <c r="AE157" s="357" t="str">
        <f t="shared" si="35"/>
        <v/>
      </c>
      <c r="AF157" s="426">
        <f t="shared" si="28"/>
        <v>0</v>
      </c>
    </row>
    <row r="158" spans="1:32" ht="15" customHeight="1">
      <c r="A158" s="696"/>
      <c r="B158" s="698"/>
      <c r="C158" s="568"/>
      <c r="D158" s="567"/>
      <c r="E158" s="372"/>
      <c r="F158" s="189" t="str">
        <f t="shared" si="34"/>
        <v/>
      </c>
      <c r="G158" s="384"/>
      <c r="H158" s="190" t="str">
        <f>IF(AND(E158="",G158=""),"",SUM(F158:G165))</f>
        <v/>
      </c>
      <c r="I158" s="191"/>
      <c r="J158" s="222"/>
      <c r="K158" s="222"/>
      <c r="L158" s="197" t="str">
        <f>IF(J158="Duplex",VLOOKUP(M158,'Características dos Cabos MX CH'!$C$12:$I$14,7),(IF(J158="Triplex",VLOOKUP(M158,'Características dos Cabos MX CH'!$C$15:$J$20,8),(IF(J158="Quadruplex",VLOOKUP(M158,'Características dos Cabos MX CH'!$C$21:$K$27,9),(IF(J158="13",VLOOKUP(M158,'Características dos Cabos MX CH'!$C$15:$L$20,10),"")))))))</f>
        <v/>
      </c>
      <c r="M158" s="350" t="str">
        <f t="shared" si="36"/>
        <v/>
      </c>
      <c r="N158" s="377"/>
      <c r="O158" s="192" t="str">
        <f t="shared" si="29"/>
        <v/>
      </c>
      <c r="P158" s="192" t="str">
        <f>IF(O158="","",SUM($O$156:O158)+$Z$156)</f>
        <v/>
      </c>
      <c r="Q158" s="192" t="str">
        <f t="shared" si="37"/>
        <v/>
      </c>
      <c r="R158" s="193" t="str">
        <f>IF(J158="Duplex",VLOOKUP(M158,'Características dos Cabos MX CH'!$C$12:$I$14,5),(IF(J158="Triplex",VLOOKUP(M158,'Características dos Cabos MX CH'!$C$15:$J$20,5),(IF(J158="Quadruplex",VLOOKUP(M158,'Características dos Cabos MX CH'!$C$21:$K$27,5),(IF(J158="13",VLOOKUP(M158,'Características dos Cabos MX CH'!$C$15:$L$20,5),"")))))))</f>
        <v/>
      </c>
      <c r="S158" s="193" t="str">
        <f>IF(J158="Duplex",VLOOKUP(M158,'Características dos Cabos MX CH'!$C$12:$I$14,6),(IF(J158="Triplex",VLOOKUP(M158,'Características dos Cabos MX CH'!$C$15:$J$20,6),(IF(J158="Quadruplex",VLOOKUP(M158,'Características dos Cabos MX CH'!$C$21:$K$27,6),(IF(J158="13",VLOOKUP(M158,'Características dos Cabos MX CH'!$C$15:$L$20,6),"")))))))</f>
        <v/>
      </c>
      <c r="T158" s="194" t="str">
        <f t="shared" si="27"/>
        <v/>
      </c>
      <c r="U158" s="447" t="str">
        <f>IF(J158="Duplex",VLOOKUP(M158,'Características dos Cabos MX CH'!$C$12:$I$14,2),(IF(J158="Triplex",VLOOKUP(M158,'Características dos Cabos MX CH'!$C$15:$J$20,2),(IF(J158="Quadruplex",VLOOKUP(M158,'Características dos Cabos MX CH'!$C$21:$K$27,2),(IF(J158="13",VLOOKUP(M158,'Características dos Cabos MX CH'!$C$15:$L$20,2),"")))))))</f>
        <v/>
      </c>
      <c r="V158" s="193" t="str">
        <f>IF(J158="Duplex",VLOOKUP(M158,'Características dos Cabos MX CH'!$C$12:$I$14,3),(IF(J158="Triplex",VLOOKUP(M158,'Características dos Cabos MX CH'!$C$15:$J$20,3),(IF(J158="Quadruplex",VLOOKUP(M158,'Características dos Cabos MX CH'!$C$21:$K$27,3),(IF(J158="13",VLOOKUP(M158,'Características dos Cabos MX CH'!$C$15:$L$20,3),"")))))))</f>
        <v/>
      </c>
      <c r="W158" s="195" t="str">
        <f t="shared" si="30"/>
        <v/>
      </c>
      <c r="X158" s="195" t="str">
        <f t="shared" si="31"/>
        <v/>
      </c>
      <c r="Y158" s="196" t="str">
        <f t="shared" si="32"/>
        <v/>
      </c>
      <c r="AA158" s="396">
        <f t="shared" si="33"/>
        <v>0</v>
      </c>
      <c r="AB158" s="396">
        <f t="shared" si="38"/>
        <v>0</v>
      </c>
      <c r="AC158" s="395"/>
      <c r="AE158" s="357" t="str">
        <f t="shared" si="35"/>
        <v/>
      </c>
      <c r="AF158" s="426">
        <f t="shared" si="28"/>
        <v>0</v>
      </c>
    </row>
    <row r="159" spans="1:32" ht="15" customHeight="1">
      <c r="A159" s="696"/>
      <c r="B159" s="698"/>
      <c r="C159" s="568"/>
      <c r="D159" s="567"/>
      <c r="E159" s="372"/>
      <c r="F159" s="189" t="str">
        <f t="shared" si="34"/>
        <v/>
      </c>
      <c r="G159" s="384"/>
      <c r="H159" s="190" t="str">
        <f>IF(AND(E159="",G159=""),"",SUM(F159:G165))</f>
        <v/>
      </c>
      <c r="I159" s="191"/>
      <c r="J159" s="222"/>
      <c r="K159" s="222"/>
      <c r="L159" s="197" t="str">
        <f>IF(J159="Duplex",VLOOKUP(M159,'Características dos Cabos MX CH'!$C$12:$I$14,7),(IF(J159="Triplex",VLOOKUP(M159,'Características dos Cabos MX CH'!$C$15:$J$20,8),(IF(J159="Quadruplex",VLOOKUP(M159,'Características dos Cabos MX CH'!$C$21:$K$27,9),(IF(J159="13",VLOOKUP(M159,'Características dos Cabos MX CH'!$C$15:$L$20,10),"")))))))</f>
        <v/>
      </c>
      <c r="M159" s="350" t="str">
        <f t="shared" si="36"/>
        <v/>
      </c>
      <c r="N159" s="377"/>
      <c r="O159" s="192" t="str">
        <f t="shared" si="29"/>
        <v/>
      </c>
      <c r="P159" s="192" t="str">
        <f>IF(O159="","",SUM($O$156:O159)+$Z$156)</f>
        <v/>
      </c>
      <c r="Q159" s="192" t="str">
        <f t="shared" si="37"/>
        <v/>
      </c>
      <c r="R159" s="193" t="str">
        <f>IF(J159="Duplex",VLOOKUP(M159,'Características dos Cabos MX CH'!$C$12:$I$14,5),(IF(J159="Triplex",VLOOKUP(M159,'Características dos Cabos MX CH'!$C$15:$J$20,5),(IF(J159="Quadruplex",VLOOKUP(M159,'Características dos Cabos MX CH'!$C$21:$K$27,5),(IF(J159="13",VLOOKUP(M159,'Características dos Cabos MX CH'!$C$15:$L$20,5),"")))))))</f>
        <v/>
      </c>
      <c r="S159" s="193" t="str">
        <f>IF(J159="Duplex",VLOOKUP(M159,'Características dos Cabos MX CH'!$C$12:$I$14,6),(IF(J159="Triplex",VLOOKUP(M159,'Características dos Cabos MX CH'!$C$15:$J$20,6),(IF(J159="Quadruplex",VLOOKUP(M159,'Características dos Cabos MX CH'!$C$21:$K$27,6),(IF(J159="13",VLOOKUP(M159,'Características dos Cabos MX CH'!$C$15:$L$20,6),"")))))))</f>
        <v/>
      </c>
      <c r="T159" s="194" t="str">
        <f t="shared" si="27"/>
        <v/>
      </c>
      <c r="U159" s="447" t="str">
        <f>IF(J159="Duplex",VLOOKUP(M159,'Características dos Cabos MX CH'!$C$12:$I$14,2),(IF(J159="Triplex",VLOOKUP(M159,'Características dos Cabos MX CH'!$C$15:$J$20,2),(IF(J159="Quadruplex",VLOOKUP(M159,'Características dos Cabos MX CH'!$C$21:$K$27,2),(IF(J159="13",VLOOKUP(M159,'Características dos Cabos MX CH'!$C$15:$L$20,2),"")))))))</f>
        <v/>
      </c>
      <c r="V159" s="193" t="str">
        <f>IF(J159="Duplex",VLOOKUP(M159,'Características dos Cabos MX CH'!$C$12:$I$14,3),(IF(J159="Triplex",VLOOKUP(M159,'Características dos Cabos MX CH'!$C$15:$J$20,3),(IF(J159="Quadruplex",VLOOKUP(M159,'Características dos Cabos MX CH'!$C$21:$K$27,3),(IF(J159="13",VLOOKUP(M159,'Características dos Cabos MX CH'!$C$15:$L$20,3),"")))))))</f>
        <v/>
      </c>
      <c r="W159" s="195" t="str">
        <f t="shared" si="30"/>
        <v/>
      </c>
      <c r="X159" s="195" t="str">
        <f t="shared" si="31"/>
        <v/>
      </c>
      <c r="Y159" s="196" t="str">
        <f t="shared" si="32"/>
        <v/>
      </c>
      <c r="AA159" s="396">
        <f t="shared" si="33"/>
        <v>0</v>
      </c>
      <c r="AB159" s="396">
        <f t="shared" si="38"/>
        <v>0</v>
      </c>
      <c r="AC159" s="395"/>
      <c r="AE159" s="357" t="str">
        <f t="shared" si="35"/>
        <v/>
      </c>
      <c r="AF159" s="426">
        <f t="shared" si="28"/>
        <v>0</v>
      </c>
    </row>
    <row r="160" spans="1:32" ht="15" customHeight="1">
      <c r="A160" s="696"/>
      <c r="B160" s="698"/>
      <c r="C160" s="568"/>
      <c r="D160" s="567"/>
      <c r="E160" s="372"/>
      <c r="F160" s="189" t="str">
        <f t="shared" si="34"/>
        <v/>
      </c>
      <c r="G160" s="384"/>
      <c r="H160" s="190" t="str">
        <f>IF(AND(E160="",G160=""),"",SUM(F160:G165))</f>
        <v/>
      </c>
      <c r="I160" s="191"/>
      <c r="J160" s="222"/>
      <c r="K160" s="222"/>
      <c r="L160" s="197" t="str">
        <f>IF(J160="Duplex",VLOOKUP(M160,'Características dos Cabos MX CH'!$C$12:$I$14,7),(IF(J160="Triplex",VLOOKUP(M160,'Características dos Cabos MX CH'!$C$15:$J$20,8),(IF(J160="Quadruplex",VLOOKUP(M160,'Características dos Cabos MX CH'!$C$21:$K$27,9),(IF(J160="13",VLOOKUP(M160,'Características dos Cabos MX CH'!$C$15:$L$20,10),"")))))))</f>
        <v/>
      </c>
      <c r="M160" s="350" t="str">
        <f t="shared" si="36"/>
        <v/>
      </c>
      <c r="N160" s="377"/>
      <c r="O160" s="192" t="str">
        <f t="shared" si="29"/>
        <v/>
      </c>
      <c r="P160" s="192" t="str">
        <f>IF(O160="","",SUM($O$156:O160)+$Z$156)</f>
        <v/>
      </c>
      <c r="Q160" s="192" t="str">
        <f t="shared" si="37"/>
        <v/>
      </c>
      <c r="R160" s="193" t="str">
        <f>IF(J160="Duplex",VLOOKUP(M160,'Características dos Cabos MX CH'!$C$12:$I$14,5),(IF(J160="Triplex",VLOOKUP(M160,'Características dos Cabos MX CH'!$C$15:$J$20,5),(IF(J160="Quadruplex",VLOOKUP(M160,'Características dos Cabos MX CH'!$C$21:$K$27,5),(IF(J160="13",VLOOKUP(M160,'Características dos Cabos MX CH'!$C$15:$L$20,5),"")))))))</f>
        <v/>
      </c>
      <c r="S160" s="193" t="str">
        <f>IF(J160="Duplex",VLOOKUP(M160,'Características dos Cabos MX CH'!$C$12:$I$14,6),(IF(J160="Triplex",VLOOKUP(M160,'Características dos Cabos MX CH'!$C$15:$J$20,6),(IF(J160="Quadruplex",VLOOKUP(M160,'Características dos Cabos MX CH'!$C$21:$K$27,6),(IF(J160="13",VLOOKUP(M160,'Características dos Cabos MX CH'!$C$15:$L$20,6),"")))))))</f>
        <v/>
      </c>
      <c r="T160" s="194" t="str">
        <f t="shared" si="27"/>
        <v/>
      </c>
      <c r="U160" s="447" t="str">
        <f>IF(J160="Duplex",VLOOKUP(M160,'Características dos Cabos MX CH'!$C$12:$I$14,2),(IF(J160="Triplex",VLOOKUP(M160,'Características dos Cabos MX CH'!$C$15:$J$20,2),(IF(J160="Quadruplex",VLOOKUP(M160,'Características dos Cabos MX CH'!$C$21:$K$27,2),(IF(J160="13",VLOOKUP(M160,'Características dos Cabos MX CH'!$C$15:$L$20,2),"")))))))</f>
        <v/>
      </c>
      <c r="V160" s="193" t="str">
        <f>IF(J160="Duplex",VLOOKUP(M160,'Características dos Cabos MX CH'!$C$12:$I$14,3),(IF(J160="Triplex",VLOOKUP(M160,'Características dos Cabos MX CH'!$C$15:$J$20,3),(IF(J160="Quadruplex",VLOOKUP(M160,'Características dos Cabos MX CH'!$C$21:$K$27,3),(IF(J160="13",VLOOKUP(M160,'Características dos Cabos MX CH'!$C$15:$L$20,3),"")))))))</f>
        <v/>
      </c>
      <c r="W160" s="195" t="str">
        <f t="shared" si="30"/>
        <v/>
      </c>
      <c r="X160" s="195" t="str">
        <f t="shared" si="31"/>
        <v/>
      </c>
      <c r="Y160" s="196" t="str">
        <f t="shared" si="32"/>
        <v/>
      </c>
      <c r="AA160" s="396">
        <f t="shared" si="33"/>
        <v>0</v>
      </c>
      <c r="AB160" s="396">
        <f t="shared" si="38"/>
        <v>0</v>
      </c>
      <c r="AC160" s="395"/>
      <c r="AE160" s="357" t="str">
        <f t="shared" si="35"/>
        <v/>
      </c>
      <c r="AF160" s="426">
        <f t="shared" si="28"/>
        <v>0</v>
      </c>
    </row>
    <row r="161" spans="1:32" ht="15" customHeight="1">
      <c r="A161" s="696"/>
      <c r="B161" s="698"/>
      <c r="C161" s="568"/>
      <c r="D161" s="567"/>
      <c r="E161" s="372"/>
      <c r="F161" s="189" t="str">
        <f t="shared" si="34"/>
        <v/>
      </c>
      <c r="G161" s="384"/>
      <c r="H161" s="190" t="str">
        <f>IF(AND(E161="",G161=""),"",SUM(F161:G165))</f>
        <v/>
      </c>
      <c r="I161" s="191"/>
      <c r="J161" s="222"/>
      <c r="K161" s="222"/>
      <c r="L161" s="197" t="str">
        <f>IF(J161="Duplex",VLOOKUP(M161,'Características dos Cabos MX CH'!$C$12:$I$14,7),(IF(J161="Triplex",VLOOKUP(M161,'Características dos Cabos MX CH'!$C$15:$J$20,8),(IF(J161="Quadruplex",VLOOKUP(M161,'Características dos Cabos MX CH'!$C$21:$K$27,9),(IF(J161="13",VLOOKUP(M161,'Características dos Cabos MX CH'!$C$15:$L$20,10),"")))))))</f>
        <v/>
      </c>
      <c r="M161" s="350" t="str">
        <f t="shared" si="36"/>
        <v/>
      </c>
      <c r="N161" s="377"/>
      <c r="O161" s="192" t="str">
        <f t="shared" si="29"/>
        <v/>
      </c>
      <c r="P161" s="192" t="str">
        <f>IF(O161="","",SUM($O$156:O161)+$Z$156)</f>
        <v/>
      </c>
      <c r="Q161" s="192" t="str">
        <f t="shared" si="37"/>
        <v/>
      </c>
      <c r="R161" s="193" t="str">
        <f>IF(J161="Duplex",VLOOKUP(M161,'Características dos Cabos MX CH'!$C$12:$I$14,5),(IF(J161="Triplex",VLOOKUP(M161,'Características dos Cabos MX CH'!$C$15:$J$20,5),(IF(J161="Quadruplex",VLOOKUP(M161,'Características dos Cabos MX CH'!$C$21:$K$27,5),(IF(J161="13",VLOOKUP(M161,'Características dos Cabos MX CH'!$C$15:$L$20,5),"")))))))</f>
        <v/>
      </c>
      <c r="S161" s="193" t="str">
        <f>IF(J161="Duplex",VLOOKUP(M161,'Características dos Cabos MX CH'!$C$12:$I$14,6),(IF(J161="Triplex",VLOOKUP(M161,'Características dos Cabos MX CH'!$C$15:$J$20,6),(IF(J161="Quadruplex",VLOOKUP(M161,'Características dos Cabos MX CH'!$C$21:$K$27,6),(IF(J161="13",VLOOKUP(M161,'Características dos Cabos MX CH'!$C$15:$L$20,6),"")))))))</f>
        <v/>
      </c>
      <c r="T161" s="194" t="str">
        <f t="shared" si="27"/>
        <v/>
      </c>
      <c r="U161" s="447" t="str">
        <f>IF(J161="Duplex",VLOOKUP(M161,'Características dos Cabos MX CH'!$C$12:$I$14,2),(IF(J161="Triplex",VLOOKUP(M161,'Características dos Cabos MX CH'!$C$15:$J$20,2),(IF(J161="Quadruplex",VLOOKUP(M161,'Características dos Cabos MX CH'!$C$21:$K$27,2),(IF(J161="13",VLOOKUP(M161,'Características dos Cabos MX CH'!$C$15:$L$20,2),"")))))))</f>
        <v/>
      </c>
      <c r="V161" s="193" t="str">
        <f>IF(J161="Duplex",VLOOKUP(M161,'Características dos Cabos MX CH'!$C$12:$I$14,3),(IF(J161="Triplex",VLOOKUP(M161,'Características dos Cabos MX CH'!$C$15:$J$20,3),(IF(J161="Quadruplex",VLOOKUP(M161,'Características dos Cabos MX CH'!$C$21:$K$27,3),(IF(J161="13",VLOOKUP(M161,'Características dos Cabos MX CH'!$C$15:$L$20,3),"")))))))</f>
        <v/>
      </c>
      <c r="W161" s="195" t="str">
        <f t="shared" si="30"/>
        <v/>
      </c>
      <c r="X161" s="195" t="str">
        <f t="shared" si="31"/>
        <v/>
      </c>
      <c r="Y161" s="196" t="str">
        <f t="shared" si="32"/>
        <v/>
      </c>
      <c r="AA161" s="396">
        <f t="shared" si="33"/>
        <v>0</v>
      </c>
      <c r="AB161" s="396">
        <f t="shared" si="38"/>
        <v>0</v>
      </c>
      <c r="AC161" s="395"/>
      <c r="AE161" s="357" t="str">
        <f t="shared" si="35"/>
        <v/>
      </c>
      <c r="AF161" s="426">
        <f t="shared" si="28"/>
        <v>0</v>
      </c>
    </row>
    <row r="162" spans="1:32" ht="15" customHeight="1">
      <c r="A162" s="696"/>
      <c r="B162" s="698"/>
      <c r="C162" s="568"/>
      <c r="D162" s="567"/>
      <c r="E162" s="372"/>
      <c r="F162" s="189" t="str">
        <f t="shared" si="34"/>
        <v/>
      </c>
      <c r="G162" s="384"/>
      <c r="H162" s="190" t="str">
        <f>IF(AND(E162="",G162=""),"",SUM(F162:G165))</f>
        <v/>
      </c>
      <c r="I162" s="191"/>
      <c r="J162" s="222"/>
      <c r="K162" s="222"/>
      <c r="L162" s="197" t="str">
        <f>IF(J162="Duplex",VLOOKUP(M162,'Características dos Cabos MX CH'!$C$12:$I$14,7),(IF(J162="Triplex",VLOOKUP(M162,'Características dos Cabos MX CH'!$C$15:$J$20,8),(IF(J162="Quadruplex",VLOOKUP(M162,'Características dos Cabos MX CH'!$C$21:$K$27,9),(IF(J162="13",VLOOKUP(M162,'Características dos Cabos MX CH'!$C$15:$L$20,10),"")))))))</f>
        <v/>
      </c>
      <c r="M162" s="350" t="str">
        <f t="shared" si="36"/>
        <v/>
      </c>
      <c r="N162" s="377"/>
      <c r="O162" s="192" t="str">
        <f t="shared" si="29"/>
        <v/>
      </c>
      <c r="P162" s="192" t="str">
        <f>IF(O162="","",SUM($O$156:O162)+$Z$156)</f>
        <v/>
      </c>
      <c r="Q162" s="192" t="str">
        <f t="shared" si="37"/>
        <v/>
      </c>
      <c r="R162" s="193" t="str">
        <f>IF(J162="Duplex",VLOOKUP(M162,'Características dos Cabos MX CH'!$C$12:$I$14,5),(IF(J162="Triplex",VLOOKUP(M162,'Características dos Cabos MX CH'!$C$15:$J$20,5),(IF(J162="Quadruplex",VLOOKUP(M162,'Características dos Cabos MX CH'!$C$21:$K$27,5),(IF(J162="13",VLOOKUP(M162,'Características dos Cabos MX CH'!$C$15:$L$20,5),"")))))))</f>
        <v/>
      </c>
      <c r="S162" s="193" t="str">
        <f>IF(J162="Duplex",VLOOKUP(M162,'Características dos Cabos MX CH'!$C$12:$I$14,6),(IF(J162="Triplex",VLOOKUP(M162,'Características dos Cabos MX CH'!$C$15:$J$20,6),(IF(J162="Quadruplex",VLOOKUP(M162,'Características dos Cabos MX CH'!$C$21:$K$27,6),(IF(J162="13",VLOOKUP(M162,'Características dos Cabos MX CH'!$C$15:$L$20,6),"")))))))</f>
        <v/>
      </c>
      <c r="T162" s="194" t="str">
        <f t="shared" si="27"/>
        <v/>
      </c>
      <c r="U162" s="447" t="str">
        <f>IF(J162="Duplex",VLOOKUP(M162,'Características dos Cabos MX CH'!$C$12:$I$14,2),(IF(J162="Triplex",VLOOKUP(M162,'Características dos Cabos MX CH'!$C$15:$J$20,2),(IF(J162="Quadruplex",VLOOKUP(M162,'Características dos Cabos MX CH'!$C$21:$K$27,2),(IF(J162="13",VLOOKUP(M162,'Características dos Cabos MX CH'!$C$15:$L$20,2),"")))))))</f>
        <v/>
      </c>
      <c r="V162" s="193" t="str">
        <f>IF(J162="Duplex",VLOOKUP(M162,'Características dos Cabos MX CH'!$C$12:$I$14,3),(IF(J162="Triplex",VLOOKUP(M162,'Características dos Cabos MX CH'!$C$15:$J$20,3),(IF(J162="Quadruplex",VLOOKUP(M162,'Características dos Cabos MX CH'!$C$21:$K$27,3),(IF(J162="13",VLOOKUP(M162,'Características dos Cabos MX CH'!$C$15:$L$20,3),"")))))))</f>
        <v/>
      </c>
      <c r="W162" s="195" t="str">
        <f t="shared" si="30"/>
        <v/>
      </c>
      <c r="X162" s="195" t="str">
        <f t="shared" si="31"/>
        <v/>
      </c>
      <c r="Y162" s="196" t="str">
        <f t="shared" si="32"/>
        <v/>
      </c>
      <c r="AA162" s="396">
        <f t="shared" si="33"/>
        <v>0</v>
      </c>
      <c r="AB162" s="396">
        <f t="shared" si="38"/>
        <v>0</v>
      </c>
      <c r="AC162" s="395"/>
      <c r="AE162" s="357" t="str">
        <f t="shared" si="35"/>
        <v/>
      </c>
      <c r="AF162" s="426">
        <f t="shared" si="28"/>
        <v>0</v>
      </c>
    </row>
    <row r="163" spans="1:32" ht="15" customHeight="1">
      <c r="A163" s="696"/>
      <c r="B163" s="698"/>
      <c r="C163" s="568"/>
      <c r="D163" s="368"/>
      <c r="E163" s="372"/>
      <c r="F163" s="189" t="str">
        <f t="shared" si="34"/>
        <v/>
      </c>
      <c r="G163" s="384"/>
      <c r="H163" s="190" t="str">
        <f>IF(AND(E163="",G163=""),"",SUM(F163:G165))</f>
        <v/>
      </c>
      <c r="I163" s="191"/>
      <c r="J163" s="222"/>
      <c r="K163" s="222"/>
      <c r="L163" s="197" t="str">
        <f>IF(J163="Duplex",VLOOKUP(M163,'Características dos Cabos MX CH'!$C$12:$I$14,7),(IF(J163="Triplex",VLOOKUP(M163,'Características dos Cabos MX CH'!$C$15:$J$20,8),(IF(J163="Quadruplex",VLOOKUP(M163,'Características dos Cabos MX CH'!$C$21:$K$27,9),(IF(J163="13",VLOOKUP(M163,'Características dos Cabos MX CH'!$C$15:$L$20,10),"")))))))</f>
        <v/>
      </c>
      <c r="M163" s="350" t="str">
        <f t="shared" si="36"/>
        <v/>
      </c>
      <c r="N163" s="377"/>
      <c r="O163" s="192" t="str">
        <f t="shared" si="29"/>
        <v/>
      </c>
      <c r="P163" s="192" t="str">
        <f>IF(O163="","",SUM($O$156:O163)+$Z$156)</f>
        <v/>
      </c>
      <c r="Q163" s="192" t="str">
        <f t="shared" si="37"/>
        <v/>
      </c>
      <c r="R163" s="193" t="str">
        <f>IF(J163="Duplex",VLOOKUP(M163,'Características dos Cabos MX CH'!$C$12:$I$14,5),(IF(J163="Triplex",VLOOKUP(M163,'Características dos Cabos MX CH'!$C$15:$J$20,5),(IF(J163="Quadruplex",VLOOKUP(M163,'Características dos Cabos MX CH'!$C$21:$K$27,5),(IF(J163="13",VLOOKUP(M163,'Características dos Cabos MX CH'!$C$15:$L$20,5),"")))))))</f>
        <v/>
      </c>
      <c r="S163" s="193" t="str">
        <f>IF(J163="Duplex",VLOOKUP(M163,'Características dos Cabos MX CH'!$C$12:$I$14,6),(IF(J163="Triplex",VLOOKUP(M163,'Características dos Cabos MX CH'!$C$15:$J$20,6),(IF(J163="Quadruplex",VLOOKUP(M163,'Características dos Cabos MX CH'!$C$21:$K$27,6),(IF(J163="13",VLOOKUP(M163,'Características dos Cabos MX CH'!$C$15:$L$20,6),"")))))))</f>
        <v/>
      </c>
      <c r="T163" s="194" t="str">
        <f t="shared" si="27"/>
        <v/>
      </c>
      <c r="U163" s="447" t="str">
        <f>IF(J163="Duplex",VLOOKUP(M163,'Características dos Cabos MX CH'!$C$12:$I$14,2),(IF(J163="Triplex",VLOOKUP(M163,'Características dos Cabos MX CH'!$C$15:$J$20,2),(IF(J163="Quadruplex",VLOOKUP(M163,'Características dos Cabos MX CH'!$C$21:$K$27,2),(IF(J163="13",VLOOKUP(M163,'Características dos Cabos MX CH'!$C$15:$L$20,2),"")))))))</f>
        <v/>
      </c>
      <c r="V163" s="193" t="str">
        <f>IF(J163="Duplex",VLOOKUP(M163,'Características dos Cabos MX CH'!$C$12:$I$14,3),(IF(J163="Triplex",VLOOKUP(M163,'Características dos Cabos MX CH'!$C$15:$J$20,3),(IF(J163="Quadruplex",VLOOKUP(M163,'Características dos Cabos MX CH'!$C$21:$K$27,3),(IF(J163="13",VLOOKUP(M163,'Características dos Cabos MX CH'!$C$15:$L$20,3),"")))))))</f>
        <v/>
      </c>
      <c r="W163" s="195" t="str">
        <f t="shared" si="30"/>
        <v/>
      </c>
      <c r="X163" s="195" t="str">
        <f t="shared" si="31"/>
        <v/>
      </c>
      <c r="Y163" s="196" t="str">
        <f t="shared" si="32"/>
        <v/>
      </c>
      <c r="AA163" s="396">
        <f t="shared" si="33"/>
        <v>0</v>
      </c>
      <c r="AB163" s="396">
        <f t="shared" si="38"/>
        <v>0</v>
      </c>
      <c r="AC163" s="395"/>
      <c r="AE163" s="357" t="str">
        <f t="shared" si="35"/>
        <v/>
      </c>
      <c r="AF163" s="426">
        <f t="shared" si="28"/>
        <v>0</v>
      </c>
    </row>
    <row r="164" spans="1:32" ht="15" customHeight="1">
      <c r="A164" s="696"/>
      <c r="B164" s="698"/>
      <c r="C164" s="568"/>
      <c r="D164" s="368"/>
      <c r="E164" s="372"/>
      <c r="F164" s="189" t="str">
        <f t="shared" si="34"/>
        <v/>
      </c>
      <c r="G164" s="384"/>
      <c r="H164" s="190" t="str">
        <f>IF(AND(E164="",G164=""),"",SUM(F164:G165))</f>
        <v/>
      </c>
      <c r="I164" s="191"/>
      <c r="J164" s="222"/>
      <c r="K164" s="222"/>
      <c r="L164" s="197" t="str">
        <f>IF(J164="Duplex",VLOOKUP(M164,'Características dos Cabos MX CH'!$C$12:$I$14,7),(IF(J164="Triplex",VLOOKUP(M164,'Características dos Cabos MX CH'!$C$15:$J$20,8),(IF(J164="Quadruplex",VLOOKUP(M164,'Características dos Cabos MX CH'!$C$21:$K$27,9),(IF(J164="13",VLOOKUP(M164,'Características dos Cabos MX CH'!$C$15:$L$20,10),"")))))))</f>
        <v/>
      </c>
      <c r="M164" s="350" t="str">
        <f t="shared" si="36"/>
        <v/>
      </c>
      <c r="N164" s="377"/>
      <c r="O164" s="192" t="str">
        <f t="shared" si="29"/>
        <v/>
      </c>
      <c r="P164" s="192" t="str">
        <f>IF(O164="","",SUM($O$156:O164)+$Z$156)</f>
        <v/>
      </c>
      <c r="Q164" s="192" t="str">
        <f t="shared" si="37"/>
        <v/>
      </c>
      <c r="R164" s="193" t="str">
        <f>IF(J164="Duplex",VLOOKUP(M164,'Características dos Cabos MX CH'!$C$12:$I$14,5),(IF(J164="Triplex",VLOOKUP(M164,'Características dos Cabos MX CH'!$C$15:$J$20,5),(IF(J164="Quadruplex",VLOOKUP(M164,'Características dos Cabos MX CH'!$C$21:$K$27,5),(IF(J164="13",VLOOKUP(M164,'Características dos Cabos MX CH'!$C$15:$L$20,5),"")))))))</f>
        <v/>
      </c>
      <c r="S164" s="193" t="str">
        <f>IF(J164="Duplex",VLOOKUP(M164,'Características dos Cabos MX CH'!$C$12:$I$14,6),(IF(J164="Triplex",VLOOKUP(M164,'Características dos Cabos MX CH'!$C$15:$J$20,6),(IF(J164="Quadruplex",VLOOKUP(M164,'Características dos Cabos MX CH'!$C$21:$K$27,6),(IF(J164="13",VLOOKUP(M164,'Características dos Cabos MX CH'!$C$15:$L$20,6),"")))))))</f>
        <v/>
      </c>
      <c r="T164" s="194" t="str">
        <f t="shared" si="27"/>
        <v/>
      </c>
      <c r="U164" s="447" t="str">
        <f>IF(J164="Duplex",VLOOKUP(M164,'Características dos Cabos MX CH'!$C$12:$I$14,2),(IF(J164="Triplex",VLOOKUP(M164,'Características dos Cabos MX CH'!$C$15:$J$20,2),(IF(J164="Quadruplex",VLOOKUP(M164,'Características dos Cabos MX CH'!$C$21:$K$27,2),(IF(J164="13",VLOOKUP(M164,'Características dos Cabos MX CH'!$C$15:$L$20,2),"")))))))</f>
        <v/>
      </c>
      <c r="V164" s="193" t="str">
        <f>IF(J164="Duplex",VLOOKUP(M164,'Características dos Cabos MX CH'!$C$12:$I$14,3),(IF(J164="Triplex",VLOOKUP(M164,'Características dos Cabos MX CH'!$C$15:$J$20,3),(IF(J164="Quadruplex",VLOOKUP(M164,'Características dos Cabos MX CH'!$C$21:$K$27,3),(IF(J164="13",VLOOKUP(M164,'Características dos Cabos MX CH'!$C$15:$L$20,3),"")))))))</f>
        <v/>
      </c>
      <c r="W164" s="195" t="str">
        <f t="shared" si="30"/>
        <v/>
      </c>
      <c r="X164" s="195" t="str">
        <f t="shared" si="31"/>
        <v/>
      </c>
      <c r="Y164" s="196" t="str">
        <f t="shared" si="32"/>
        <v/>
      </c>
      <c r="AA164" s="396">
        <f t="shared" si="33"/>
        <v>0</v>
      </c>
      <c r="AB164" s="396">
        <f t="shared" si="38"/>
        <v>0</v>
      </c>
      <c r="AC164" s="395"/>
      <c r="AE164" s="357" t="str">
        <f t="shared" si="35"/>
        <v/>
      </c>
      <c r="AF164" s="426">
        <f t="shared" si="28"/>
        <v>0</v>
      </c>
    </row>
    <row r="165" spans="1:32" ht="15" customHeight="1" thickBot="1">
      <c r="A165" s="696"/>
      <c r="B165" s="699"/>
      <c r="C165" s="568"/>
      <c r="D165" s="370"/>
      <c r="E165" s="369"/>
      <c r="F165" s="199" t="str">
        <f t="shared" si="34"/>
        <v/>
      </c>
      <c r="G165" s="385"/>
      <c r="H165" s="200" t="str">
        <f>IF(AND(E165="",G165=""),"",SUM(F165:G165))</f>
        <v/>
      </c>
      <c r="I165" s="201"/>
      <c r="J165" s="223"/>
      <c r="K165" s="223"/>
      <c r="L165" s="202" t="str">
        <f>IF(J165="Duplex",VLOOKUP(M165,'Características dos Cabos MX CH'!$C$12:$I$14,7),(IF(J165="Triplex",VLOOKUP(M165,'Características dos Cabos MX CH'!$C$15:$J$20,8),(IF(J165="Quadruplex",VLOOKUP(M165,'Características dos Cabos MX CH'!$C$21:$K$27,9),(IF(J165="13",VLOOKUP(M165,'Características dos Cabos MX CH'!$C$15:$L$20,10),"")))))))</f>
        <v/>
      </c>
      <c r="M165" s="353" t="str">
        <f t="shared" si="36"/>
        <v/>
      </c>
      <c r="N165" s="378"/>
      <c r="O165" s="203" t="str">
        <f t="shared" si="29"/>
        <v/>
      </c>
      <c r="P165" s="192" t="str">
        <f>IF(O165="","",SUM($O$156:O165)+$Z$156)</f>
        <v/>
      </c>
      <c r="Q165" s="203" t="str">
        <f t="shared" si="37"/>
        <v/>
      </c>
      <c r="R165" s="204" t="str">
        <f>IF(J165="Duplex",VLOOKUP(M165,'Características dos Cabos MX CH'!$C$12:$I$14,5),(IF(J165="Triplex",VLOOKUP(M165,'Características dos Cabos MX CH'!$C$15:$J$20,5),(IF(J165="Quadruplex",VLOOKUP(M165,'Características dos Cabos MX CH'!$C$21:$K$27,5),(IF(J165="13",VLOOKUP(M165,'Características dos Cabos MX CH'!$C$15:$L$20,5),"")))))))</f>
        <v/>
      </c>
      <c r="S165" s="204" t="str">
        <f>IF(J165="Duplex",VLOOKUP(M165,'Características dos Cabos MX CH'!$C$12:$I$14,6),(IF(J165="Triplex",VLOOKUP(M165,'Características dos Cabos MX CH'!$C$15:$J$20,6),(IF(J165="Quadruplex",VLOOKUP(M165,'Características dos Cabos MX CH'!$C$21:$K$27,6),(IF(J165="13",VLOOKUP(M165,'Características dos Cabos MX CH'!$C$15:$L$20,6),"")))))))</f>
        <v/>
      </c>
      <c r="T165" s="205" t="str">
        <f t="shared" si="27"/>
        <v/>
      </c>
      <c r="U165" s="448" t="str">
        <f>IF(J165="Duplex",VLOOKUP(M165,'Características dos Cabos MX CH'!$C$12:$I$14,2),(IF(J165="Triplex",VLOOKUP(M165,'Características dos Cabos MX CH'!$C$15:$J$20,2),(IF(J165="Quadruplex",VLOOKUP(M165,'Características dos Cabos MX CH'!$C$21:$K$27,2),(IF(J165="13",VLOOKUP(M165,'Características dos Cabos MX CH'!$C$15:$L$20,2),"")))))))</f>
        <v/>
      </c>
      <c r="V165" s="204" t="str">
        <f>IF(J165="Duplex",VLOOKUP(M165,'Características dos Cabos MX CH'!$C$12:$I$14,3),(IF(J165="Triplex",VLOOKUP(M165,'Características dos Cabos MX CH'!$C$15:$J$20,3),(IF(J165="Quadruplex",VLOOKUP(M165,'Características dos Cabos MX CH'!$C$21:$K$27,3),(IF(J165="13",VLOOKUP(M165,'Características dos Cabos MX CH'!$C$15:$L$20,3),"")))))))</f>
        <v/>
      </c>
      <c r="W165" s="206" t="str">
        <f t="shared" si="30"/>
        <v/>
      </c>
      <c r="X165" s="206" t="str">
        <f t="shared" si="31"/>
        <v/>
      </c>
      <c r="Y165" s="207" t="str">
        <f t="shared" si="32"/>
        <v/>
      </c>
      <c r="AA165" s="396">
        <f t="shared" si="33"/>
        <v>0</v>
      </c>
      <c r="AB165" s="396">
        <f t="shared" si="38"/>
        <v>0</v>
      </c>
      <c r="AC165" s="395"/>
      <c r="AE165" s="357" t="str">
        <f t="shared" si="35"/>
        <v/>
      </c>
      <c r="AF165" s="426">
        <f t="shared" si="28"/>
        <v>0</v>
      </c>
    </row>
    <row r="166" spans="1:32" ht="15" customHeight="1" thickTop="1">
      <c r="A166" s="696"/>
      <c r="B166" s="700" t="str">
        <f>CONCATENATE("Ramal 13 - Derivando no ponto ",C166)</f>
        <v xml:space="preserve">Ramal 13 - Derivando no ponto </v>
      </c>
      <c r="C166" s="572"/>
      <c r="D166" s="573"/>
      <c r="E166" s="374"/>
      <c r="F166" s="208" t="str">
        <f t="shared" si="34"/>
        <v/>
      </c>
      <c r="G166" s="386"/>
      <c r="H166" s="209" t="str">
        <f>IF(AND(E166="",G166=""),"",SUM(F166:G175))</f>
        <v/>
      </c>
      <c r="I166" s="210"/>
      <c r="J166" s="224"/>
      <c r="K166" s="224"/>
      <c r="L166" s="211" t="str">
        <f>IF(J166="Duplex",VLOOKUP(M166,'Características dos Cabos MX CH'!$C$12:$I$14,7),(IF(J166="Triplex",VLOOKUP(M166,'Características dos Cabos MX CH'!$C$15:$J$20,8),(IF(J166="Quadruplex",VLOOKUP(M166,'Características dos Cabos MX CH'!$C$21:$K$27,9),(IF(J166="13",VLOOKUP(M166,'Características dos Cabos MX CH'!$C$15:$L$20,10),"")))))))</f>
        <v/>
      </c>
      <c r="M166" s="354" t="str">
        <f t="shared" si="36"/>
        <v/>
      </c>
      <c r="N166" s="379"/>
      <c r="O166" s="212" t="str">
        <f t="shared" si="29"/>
        <v/>
      </c>
      <c r="P166" s="217" t="str">
        <f>IF(O166="","",O166+VLOOKUP(C166,$D$20:$Q$165,13,FALSE))</f>
        <v/>
      </c>
      <c r="Q166" s="212" t="str">
        <f t="shared" si="37"/>
        <v/>
      </c>
      <c r="R166" s="213" t="str">
        <f>IF(J166="Duplex",VLOOKUP(M166,'Características dos Cabos MX CH'!$C$12:$I$14,5),(IF(J166="Triplex",VLOOKUP(M166,'Características dos Cabos MX CH'!$C$15:$J$20,5),(IF(J166="Quadruplex",VLOOKUP(M166,'Características dos Cabos MX CH'!$C$21:$K$27,5),(IF(J166="13",VLOOKUP(M166,'Características dos Cabos MX CH'!$C$15:$L$20,5),"")))))))</f>
        <v/>
      </c>
      <c r="S166" s="213" t="str">
        <f>IF(J166="Duplex",VLOOKUP(M166,'Características dos Cabos MX CH'!$C$12:$I$14,6),(IF(J166="Triplex",VLOOKUP(M166,'Características dos Cabos MX CH'!$C$15:$J$20,6),(IF(J166="Quadruplex",VLOOKUP(M166,'Características dos Cabos MX CH'!$C$21:$K$27,6),(IF(J166="13",VLOOKUP(M166,'Características dos Cabos MX CH'!$C$15:$L$20,6),"")))))))</f>
        <v/>
      </c>
      <c r="T166" s="214" t="str">
        <f t="shared" si="27"/>
        <v/>
      </c>
      <c r="U166" s="450" t="str">
        <f>IF(J166="Duplex",VLOOKUP(M166,'Características dos Cabos MX CH'!$C$12:$I$14,2),(IF(J166="Triplex",VLOOKUP(M166,'Características dos Cabos MX CH'!$C$15:$J$20,2),(IF(J166="Quadruplex",VLOOKUP(M166,'Características dos Cabos MX CH'!$C$21:$K$27,2),(IF(J166="13",VLOOKUP(M166,'Características dos Cabos MX CH'!$C$15:$L$20,2),"")))))))</f>
        <v/>
      </c>
      <c r="V166" s="213" t="str">
        <f>IF(J166="Duplex",VLOOKUP(M166,'Características dos Cabos MX CH'!$C$12:$I$14,3),(IF(J166="Triplex",VLOOKUP(M166,'Características dos Cabos MX CH'!$C$15:$J$20,3),(IF(J166="Quadruplex",VLOOKUP(M166,'Características dos Cabos MX CH'!$C$21:$K$27,3),(IF(J166="13",VLOOKUP(M166,'Características dos Cabos MX CH'!$C$15:$L$20,3),"")))))))</f>
        <v/>
      </c>
      <c r="W166" s="215" t="str">
        <f t="shared" si="30"/>
        <v/>
      </c>
      <c r="X166" s="215" t="str">
        <f t="shared" si="31"/>
        <v/>
      </c>
      <c r="Y166" s="216" t="str">
        <f t="shared" si="32"/>
        <v/>
      </c>
      <c r="Z166" s="393" t="str">
        <f>IF(O166="","",VLOOKUP(C166,$D$20:$P$165,13,FALSE))</f>
        <v/>
      </c>
      <c r="AA166" s="396">
        <f t="shared" si="33"/>
        <v>0</v>
      </c>
      <c r="AB166" s="396">
        <f t="shared" si="38"/>
        <v>0</v>
      </c>
      <c r="AC166" s="395"/>
      <c r="AE166" s="357" t="str">
        <f t="shared" si="35"/>
        <v/>
      </c>
      <c r="AF166" s="426">
        <f t="shared" si="28"/>
        <v>0</v>
      </c>
    </row>
    <row r="167" spans="1:32" ht="15" customHeight="1">
      <c r="A167" s="696"/>
      <c r="B167" s="698"/>
      <c r="C167" s="562"/>
      <c r="D167" s="567"/>
      <c r="E167" s="372"/>
      <c r="F167" s="189" t="str">
        <f t="shared" si="34"/>
        <v/>
      </c>
      <c r="G167" s="384"/>
      <c r="H167" s="190" t="str">
        <f>IF(AND(E167="",G167=""),"",SUM(F167:G175))</f>
        <v/>
      </c>
      <c r="I167" s="191"/>
      <c r="J167" s="222"/>
      <c r="K167" s="222"/>
      <c r="L167" s="197" t="str">
        <f>IF(J167="Duplex",VLOOKUP(M167,'Características dos Cabos MX CH'!$C$12:$I$14,7),(IF(J167="Triplex",VLOOKUP(M167,'Características dos Cabos MX CH'!$C$15:$J$20,8),(IF(J167="Quadruplex",VLOOKUP(M167,'Características dos Cabos MX CH'!$C$21:$K$27,9),(IF(J167="13",VLOOKUP(M167,'Características dos Cabos MX CH'!$C$15:$L$20,10),"")))))))</f>
        <v/>
      </c>
      <c r="M167" s="350" t="str">
        <f t="shared" si="36"/>
        <v/>
      </c>
      <c r="N167" s="377"/>
      <c r="O167" s="192" t="str">
        <f t="shared" si="29"/>
        <v/>
      </c>
      <c r="P167" s="192" t="str">
        <f>IF(O167="","",SUM($O$166:O167)+$Z$166)</f>
        <v/>
      </c>
      <c r="Q167" s="192" t="str">
        <f t="shared" si="37"/>
        <v/>
      </c>
      <c r="R167" s="193" t="str">
        <f>IF(J167="Duplex",VLOOKUP(M167,'Características dos Cabos MX CH'!$C$12:$I$14,5),(IF(J167="Triplex",VLOOKUP(M167,'Características dos Cabos MX CH'!$C$15:$J$20,5),(IF(J167="Quadruplex",VLOOKUP(M167,'Características dos Cabos MX CH'!$C$21:$K$27,5),(IF(J167="13",VLOOKUP(M167,'Características dos Cabos MX CH'!$C$15:$L$20,5),"")))))))</f>
        <v/>
      </c>
      <c r="S167" s="193" t="str">
        <f>IF(J167="Duplex",VLOOKUP(M167,'Características dos Cabos MX CH'!$C$12:$I$14,6),(IF(J167="Triplex",VLOOKUP(M167,'Características dos Cabos MX CH'!$C$15:$J$20,6),(IF(J167="Quadruplex",VLOOKUP(M167,'Características dos Cabos MX CH'!$C$21:$K$27,6),(IF(J167="13",VLOOKUP(M167,'Características dos Cabos MX CH'!$C$15:$L$20,6),"")))))))</f>
        <v/>
      </c>
      <c r="T167" s="194" t="str">
        <f t="shared" si="27"/>
        <v/>
      </c>
      <c r="U167" s="447" t="str">
        <f>IF(J167="Duplex",VLOOKUP(M167,'Características dos Cabos MX CH'!$C$12:$I$14,2),(IF(J167="Triplex",VLOOKUP(M167,'Características dos Cabos MX CH'!$C$15:$J$20,2),(IF(J167="Quadruplex",VLOOKUP(M167,'Características dos Cabos MX CH'!$C$21:$K$27,2),(IF(J167="13",VLOOKUP(M167,'Características dos Cabos MX CH'!$C$15:$L$20,2),"")))))))</f>
        <v/>
      </c>
      <c r="V167" s="193" t="str">
        <f>IF(J167="Duplex",VLOOKUP(M167,'Características dos Cabos MX CH'!$C$12:$I$14,3),(IF(J167="Triplex",VLOOKUP(M167,'Características dos Cabos MX CH'!$C$15:$J$20,3),(IF(J167="Quadruplex",VLOOKUP(M167,'Características dos Cabos MX CH'!$C$21:$K$27,3),(IF(J167="13",VLOOKUP(M167,'Características dos Cabos MX CH'!$C$15:$L$20,3),"")))))))</f>
        <v/>
      </c>
      <c r="W167" s="195" t="str">
        <f t="shared" si="30"/>
        <v/>
      </c>
      <c r="X167" s="195" t="str">
        <f t="shared" si="31"/>
        <v/>
      </c>
      <c r="Y167" s="196" t="str">
        <f t="shared" si="32"/>
        <v/>
      </c>
      <c r="AA167" s="396">
        <f t="shared" si="33"/>
        <v>0</v>
      </c>
      <c r="AB167" s="396">
        <f t="shared" si="38"/>
        <v>0</v>
      </c>
      <c r="AC167" s="395"/>
      <c r="AE167" s="357" t="str">
        <f t="shared" si="35"/>
        <v/>
      </c>
      <c r="AF167" s="426">
        <f t="shared" si="28"/>
        <v>0</v>
      </c>
    </row>
    <row r="168" spans="1:32" ht="15" customHeight="1">
      <c r="A168" s="696"/>
      <c r="B168" s="698"/>
      <c r="C168" s="568"/>
      <c r="D168" s="567"/>
      <c r="E168" s="372"/>
      <c r="F168" s="189" t="str">
        <f t="shared" si="34"/>
        <v/>
      </c>
      <c r="G168" s="384"/>
      <c r="H168" s="190" t="str">
        <f>IF(AND(E168="",G168=""),"",SUM(F168:G175))</f>
        <v/>
      </c>
      <c r="I168" s="191"/>
      <c r="J168" s="222"/>
      <c r="K168" s="222"/>
      <c r="L168" s="197" t="str">
        <f>IF(J168="Duplex",VLOOKUP(M168,'Características dos Cabos MX CH'!$C$12:$I$14,7),(IF(J168="Triplex",VLOOKUP(M168,'Características dos Cabos MX CH'!$C$15:$J$20,8),(IF(J168="Quadruplex",VLOOKUP(M168,'Características dos Cabos MX CH'!$C$21:$K$27,9),(IF(J168="13",VLOOKUP(M168,'Características dos Cabos MX CH'!$C$15:$L$20,10),"")))))))</f>
        <v/>
      </c>
      <c r="M168" s="350" t="str">
        <f t="shared" si="36"/>
        <v/>
      </c>
      <c r="N168" s="377"/>
      <c r="O168" s="192" t="str">
        <f t="shared" si="29"/>
        <v/>
      </c>
      <c r="P168" s="192" t="str">
        <f>IF(O168="","",SUM($O$166:O168)+$Z$166)</f>
        <v/>
      </c>
      <c r="Q168" s="192" t="str">
        <f t="shared" si="37"/>
        <v/>
      </c>
      <c r="R168" s="193" t="str">
        <f>IF(J168="Duplex",VLOOKUP(M168,'Características dos Cabos MX CH'!$C$12:$I$14,5),(IF(J168="Triplex",VLOOKUP(M168,'Características dos Cabos MX CH'!$C$15:$J$20,5),(IF(J168="Quadruplex",VLOOKUP(M168,'Características dos Cabos MX CH'!$C$21:$K$27,5),(IF(J168="13",VLOOKUP(M168,'Características dos Cabos MX CH'!$C$15:$L$20,5),"")))))))</f>
        <v/>
      </c>
      <c r="S168" s="193" t="str">
        <f>IF(J168="Duplex",VLOOKUP(M168,'Características dos Cabos MX CH'!$C$12:$I$14,6),(IF(J168="Triplex",VLOOKUP(M168,'Características dos Cabos MX CH'!$C$15:$J$20,6),(IF(J168="Quadruplex",VLOOKUP(M168,'Características dos Cabos MX CH'!$C$21:$K$27,6),(IF(J168="13",VLOOKUP(M168,'Características dos Cabos MX CH'!$C$15:$L$20,6),"")))))))</f>
        <v/>
      </c>
      <c r="T168" s="194" t="str">
        <f t="shared" si="27"/>
        <v/>
      </c>
      <c r="U168" s="447" t="str">
        <f>IF(J168="Duplex",VLOOKUP(M168,'Características dos Cabos MX CH'!$C$12:$I$14,2),(IF(J168="Triplex",VLOOKUP(M168,'Características dos Cabos MX CH'!$C$15:$J$20,2),(IF(J168="Quadruplex",VLOOKUP(M168,'Características dos Cabos MX CH'!$C$21:$K$27,2),(IF(J168="13",VLOOKUP(M168,'Características dos Cabos MX CH'!$C$15:$L$20,2),"")))))))</f>
        <v/>
      </c>
      <c r="V168" s="193" t="str">
        <f>IF(J168="Duplex",VLOOKUP(M168,'Características dos Cabos MX CH'!$C$12:$I$14,3),(IF(J168="Triplex",VLOOKUP(M168,'Características dos Cabos MX CH'!$C$15:$J$20,3),(IF(J168="Quadruplex",VLOOKUP(M168,'Características dos Cabos MX CH'!$C$21:$K$27,3),(IF(J168="13",VLOOKUP(M168,'Características dos Cabos MX CH'!$C$15:$L$20,3),"")))))))</f>
        <v/>
      </c>
      <c r="W168" s="195" t="str">
        <f t="shared" si="30"/>
        <v/>
      </c>
      <c r="X168" s="195" t="str">
        <f t="shared" si="31"/>
        <v/>
      </c>
      <c r="Y168" s="196" t="str">
        <f t="shared" si="32"/>
        <v/>
      </c>
      <c r="AA168" s="396">
        <f t="shared" si="33"/>
        <v>0</v>
      </c>
      <c r="AB168" s="396">
        <f t="shared" si="38"/>
        <v>0</v>
      </c>
      <c r="AC168" s="395"/>
      <c r="AE168" s="357" t="str">
        <f t="shared" si="35"/>
        <v/>
      </c>
      <c r="AF168" s="426">
        <f t="shared" si="28"/>
        <v>0</v>
      </c>
    </row>
    <row r="169" spans="1:32" ht="15" customHeight="1">
      <c r="A169" s="696"/>
      <c r="B169" s="698"/>
      <c r="C169" s="568"/>
      <c r="D169" s="567"/>
      <c r="E169" s="372"/>
      <c r="F169" s="189" t="str">
        <f t="shared" si="34"/>
        <v/>
      </c>
      <c r="G169" s="384"/>
      <c r="H169" s="190" t="str">
        <f>IF(AND(E169="",G169=""),"",SUM(F169:G175))</f>
        <v/>
      </c>
      <c r="I169" s="191"/>
      <c r="J169" s="222"/>
      <c r="K169" s="222"/>
      <c r="L169" s="197" t="str">
        <f>IF(J169="Duplex",VLOOKUP(M169,'Características dos Cabos MX CH'!$C$12:$I$14,7),(IF(J169="Triplex",VLOOKUP(M169,'Características dos Cabos MX CH'!$C$15:$J$20,8),(IF(J169="Quadruplex",VLOOKUP(M169,'Características dos Cabos MX CH'!$C$21:$K$27,9),(IF(J169="13",VLOOKUP(M169,'Características dos Cabos MX CH'!$C$15:$L$20,10),"")))))))</f>
        <v/>
      </c>
      <c r="M169" s="350" t="str">
        <f t="shared" si="36"/>
        <v/>
      </c>
      <c r="N169" s="377"/>
      <c r="O169" s="192" t="str">
        <f t="shared" si="29"/>
        <v/>
      </c>
      <c r="P169" s="192" t="str">
        <f>IF(O169="","",SUM($O$166:O169)+$Z$166)</f>
        <v/>
      </c>
      <c r="Q169" s="192" t="str">
        <f t="shared" si="37"/>
        <v/>
      </c>
      <c r="R169" s="193" t="str">
        <f>IF(J169="Duplex",VLOOKUP(M169,'Características dos Cabos MX CH'!$C$12:$I$14,5),(IF(J169="Triplex",VLOOKUP(M169,'Características dos Cabos MX CH'!$C$15:$J$20,5),(IF(J169="Quadruplex",VLOOKUP(M169,'Características dos Cabos MX CH'!$C$21:$K$27,5),(IF(J169="13",VLOOKUP(M169,'Características dos Cabos MX CH'!$C$15:$L$20,5),"")))))))</f>
        <v/>
      </c>
      <c r="S169" s="193" t="str">
        <f>IF(J169="Duplex",VLOOKUP(M169,'Características dos Cabos MX CH'!$C$12:$I$14,6),(IF(J169="Triplex",VLOOKUP(M169,'Características dos Cabos MX CH'!$C$15:$J$20,6),(IF(J169="Quadruplex",VLOOKUP(M169,'Características dos Cabos MX CH'!$C$21:$K$27,6),(IF(J169="13",VLOOKUP(M169,'Características dos Cabos MX CH'!$C$15:$L$20,6),"")))))))</f>
        <v/>
      </c>
      <c r="T169" s="194" t="str">
        <f t="shared" si="27"/>
        <v/>
      </c>
      <c r="U169" s="447" t="str">
        <f>IF(J169="Duplex",VLOOKUP(M169,'Características dos Cabos MX CH'!$C$12:$I$14,2),(IF(J169="Triplex",VLOOKUP(M169,'Características dos Cabos MX CH'!$C$15:$J$20,2),(IF(J169="Quadruplex",VLOOKUP(M169,'Características dos Cabos MX CH'!$C$21:$K$27,2),(IF(J169="13",VLOOKUP(M169,'Características dos Cabos MX CH'!$C$15:$L$20,2),"")))))))</f>
        <v/>
      </c>
      <c r="V169" s="193" t="str">
        <f>IF(J169="Duplex",VLOOKUP(M169,'Características dos Cabos MX CH'!$C$12:$I$14,3),(IF(J169="Triplex",VLOOKUP(M169,'Características dos Cabos MX CH'!$C$15:$J$20,3),(IF(J169="Quadruplex",VLOOKUP(M169,'Características dos Cabos MX CH'!$C$21:$K$27,3),(IF(J169="13",VLOOKUP(M169,'Características dos Cabos MX CH'!$C$15:$L$20,3),"")))))))</f>
        <v/>
      </c>
      <c r="W169" s="195" t="str">
        <f t="shared" si="30"/>
        <v/>
      </c>
      <c r="X169" s="195" t="str">
        <f t="shared" si="31"/>
        <v/>
      </c>
      <c r="Y169" s="196" t="str">
        <f t="shared" si="32"/>
        <v/>
      </c>
      <c r="AA169" s="396">
        <f t="shared" si="33"/>
        <v>0</v>
      </c>
      <c r="AB169" s="396">
        <f t="shared" si="38"/>
        <v>0</v>
      </c>
      <c r="AC169" s="395"/>
      <c r="AE169" s="357" t="str">
        <f t="shared" si="35"/>
        <v/>
      </c>
      <c r="AF169" s="426">
        <f t="shared" si="28"/>
        <v>0</v>
      </c>
    </row>
    <row r="170" spans="1:32" ht="15" customHeight="1">
      <c r="A170" s="696"/>
      <c r="B170" s="698"/>
      <c r="C170" s="568"/>
      <c r="D170" s="567"/>
      <c r="E170" s="372"/>
      <c r="F170" s="189" t="str">
        <f t="shared" si="34"/>
        <v/>
      </c>
      <c r="G170" s="384"/>
      <c r="H170" s="190" t="str">
        <f>IF(AND(E170="",G170=""),"",SUM(F170:G175))</f>
        <v/>
      </c>
      <c r="I170" s="191"/>
      <c r="J170" s="222"/>
      <c r="K170" s="222"/>
      <c r="L170" s="197" t="str">
        <f>IF(J170="Duplex",VLOOKUP(M170,'Características dos Cabos MX CH'!$C$12:$I$14,7),(IF(J170="Triplex",VLOOKUP(M170,'Características dos Cabos MX CH'!$C$15:$J$20,8),(IF(J170="Quadruplex",VLOOKUP(M170,'Características dos Cabos MX CH'!$C$21:$K$27,9),(IF(J170="13",VLOOKUP(M170,'Características dos Cabos MX CH'!$C$15:$L$20,10),"")))))))</f>
        <v/>
      </c>
      <c r="M170" s="350" t="str">
        <f t="shared" si="36"/>
        <v/>
      </c>
      <c r="N170" s="377"/>
      <c r="O170" s="192" t="str">
        <f t="shared" si="29"/>
        <v/>
      </c>
      <c r="P170" s="192" t="str">
        <f>IF(O170="","",SUM($O$166:O170)+$Z$166)</f>
        <v/>
      </c>
      <c r="Q170" s="192" t="str">
        <f t="shared" si="37"/>
        <v/>
      </c>
      <c r="R170" s="193" t="str">
        <f>IF(J170="Duplex",VLOOKUP(M170,'Características dos Cabos MX CH'!$C$12:$I$14,5),(IF(J170="Triplex",VLOOKUP(M170,'Características dos Cabos MX CH'!$C$15:$J$20,5),(IF(J170="Quadruplex",VLOOKUP(M170,'Características dos Cabos MX CH'!$C$21:$K$27,5),(IF(J170="13",VLOOKUP(M170,'Características dos Cabos MX CH'!$C$15:$L$20,5),"")))))))</f>
        <v/>
      </c>
      <c r="S170" s="193" t="str">
        <f>IF(J170="Duplex",VLOOKUP(M170,'Características dos Cabos MX CH'!$C$12:$I$14,6),(IF(J170="Triplex",VLOOKUP(M170,'Características dos Cabos MX CH'!$C$15:$J$20,6),(IF(J170="Quadruplex",VLOOKUP(M170,'Características dos Cabos MX CH'!$C$21:$K$27,6),(IF(J170="13",VLOOKUP(M170,'Características dos Cabos MX CH'!$C$15:$L$20,6),"")))))))</f>
        <v/>
      </c>
      <c r="T170" s="194" t="str">
        <f t="shared" si="27"/>
        <v/>
      </c>
      <c r="U170" s="447" t="str">
        <f>IF(J170="Duplex",VLOOKUP(M170,'Características dos Cabos MX CH'!$C$12:$I$14,2),(IF(J170="Triplex",VLOOKUP(M170,'Características dos Cabos MX CH'!$C$15:$J$20,2),(IF(J170="Quadruplex",VLOOKUP(M170,'Características dos Cabos MX CH'!$C$21:$K$27,2),(IF(J170="13",VLOOKUP(M170,'Características dos Cabos MX CH'!$C$15:$L$20,2),"")))))))</f>
        <v/>
      </c>
      <c r="V170" s="193" t="str">
        <f>IF(J170="Duplex",VLOOKUP(M170,'Características dos Cabos MX CH'!$C$12:$I$14,3),(IF(J170="Triplex",VLOOKUP(M170,'Características dos Cabos MX CH'!$C$15:$J$20,3),(IF(J170="Quadruplex",VLOOKUP(M170,'Características dos Cabos MX CH'!$C$21:$K$27,3),(IF(J170="13",VLOOKUP(M170,'Características dos Cabos MX CH'!$C$15:$L$20,3),"")))))))</f>
        <v/>
      </c>
      <c r="W170" s="195" t="str">
        <f t="shared" si="30"/>
        <v/>
      </c>
      <c r="X170" s="195" t="str">
        <f t="shared" si="31"/>
        <v/>
      </c>
      <c r="Y170" s="196" t="str">
        <f t="shared" si="32"/>
        <v/>
      </c>
      <c r="AA170" s="396">
        <f t="shared" si="33"/>
        <v>0</v>
      </c>
      <c r="AB170" s="396">
        <f t="shared" si="38"/>
        <v>0</v>
      </c>
      <c r="AC170" s="395"/>
      <c r="AE170" s="357" t="str">
        <f t="shared" si="35"/>
        <v/>
      </c>
      <c r="AF170" s="426">
        <f t="shared" si="28"/>
        <v>0</v>
      </c>
    </row>
    <row r="171" spans="1:32" ht="15" customHeight="1">
      <c r="A171" s="696"/>
      <c r="B171" s="698"/>
      <c r="C171" s="568"/>
      <c r="D171" s="567"/>
      <c r="E171" s="372"/>
      <c r="F171" s="189" t="str">
        <f t="shared" si="34"/>
        <v/>
      </c>
      <c r="G171" s="384"/>
      <c r="H171" s="190" t="str">
        <f>IF(AND(E171="",G171=""),"",SUM(F171:G175))</f>
        <v/>
      </c>
      <c r="I171" s="191"/>
      <c r="J171" s="222"/>
      <c r="K171" s="222"/>
      <c r="L171" s="197" t="str">
        <f>IF(J171="Duplex",VLOOKUP(M171,'Características dos Cabos MX CH'!$C$12:$I$14,7),(IF(J171="Triplex",VLOOKUP(M171,'Características dos Cabos MX CH'!$C$15:$J$20,8),(IF(J171="Quadruplex",VLOOKUP(M171,'Características dos Cabos MX CH'!$C$21:$K$27,9),(IF(J171="13",VLOOKUP(M171,'Características dos Cabos MX CH'!$C$15:$L$20,10),"")))))))</f>
        <v/>
      </c>
      <c r="M171" s="350" t="str">
        <f t="shared" si="36"/>
        <v/>
      </c>
      <c r="N171" s="377"/>
      <c r="O171" s="192" t="str">
        <f t="shared" si="29"/>
        <v/>
      </c>
      <c r="P171" s="192" t="str">
        <f>IF(O171="","",SUM($O$166:O171)+$Z$166)</f>
        <v/>
      </c>
      <c r="Q171" s="192" t="str">
        <f t="shared" si="37"/>
        <v/>
      </c>
      <c r="R171" s="193" t="str">
        <f>IF(J171="Duplex",VLOOKUP(M171,'Características dos Cabos MX CH'!$C$12:$I$14,5),(IF(J171="Triplex",VLOOKUP(M171,'Características dos Cabos MX CH'!$C$15:$J$20,5),(IF(J171="Quadruplex",VLOOKUP(M171,'Características dos Cabos MX CH'!$C$21:$K$27,5),(IF(J171="13",VLOOKUP(M171,'Características dos Cabos MX CH'!$C$15:$L$20,5),"")))))))</f>
        <v/>
      </c>
      <c r="S171" s="193" t="str">
        <f>IF(J171="Duplex",VLOOKUP(M171,'Características dos Cabos MX CH'!$C$12:$I$14,6),(IF(J171="Triplex",VLOOKUP(M171,'Características dos Cabos MX CH'!$C$15:$J$20,6),(IF(J171="Quadruplex",VLOOKUP(M171,'Características dos Cabos MX CH'!$C$21:$K$27,6),(IF(J171="13",VLOOKUP(M171,'Características dos Cabos MX CH'!$C$15:$L$20,6),"")))))))</f>
        <v/>
      </c>
      <c r="T171" s="194" t="str">
        <f t="shared" si="27"/>
        <v/>
      </c>
      <c r="U171" s="447" t="str">
        <f>IF(J171="Duplex",VLOOKUP(M171,'Características dos Cabos MX CH'!$C$12:$I$14,2),(IF(J171="Triplex",VLOOKUP(M171,'Características dos Cabos MX CH'!$C$15:$J$20,2),(IF(J171="Quadruplex",VLOOKUP(M171,'Características dos Cabos MX CH'!$C$21:$K$27,2),(IF(J171="13",VLOOKUP(M171,'Características dos Cabos MX CH'!$C$15:$L$20,2),"")))))))</f>
        <v/>
      </c>
      <c r="V171" s="193" t="str">
        <f>IF(J171="Duplex",VLOOKUP(M171,'Características dos Cabos MX CH'!$C$12:$I$14,3),(IF(J171="Triplex",VLOOKUP(M171,'Características dos Cabos MX CH'!$C$15:$J$20,3),(IF(J171="Quadruplex",VLOOKUP(M171,'Características dos Cabos MX CH'!$C$21:$K$27,3),(IF(J171="13",VLOOKUP(M171,'Características dos Cabos MX CH'!$C$15:$L$20,3),"")))))))</f>
        <v/>
      </c>
      <c r="W171" s="195" t="str">
        <f t="shared" si="30"/>
        <v/>
      </c>
      <c r="X171" s="195" t="str">
        <f t="shared" si="31"/>
        <v/>
      </c>
      <c r="Y171" s="196" t="str">
        <f t="shared" si="32"/>
        <v/>
      </c>
      <c r="AA171" s="396">
        <f t="shared" si="33"/>
        <v>0</v>
      </c>
      <c r="AB171" s="396">
        <f t="shared" si="38"/>
        <v>0</v>
      </c>
      <c r="AC171" s="395"/>
      <c r="AE171" s="357" t="str">
        <f t="shared" si="35"/>
        <v/>
      </c>
      <c r="AF171" s="426">
        <f t="shared" si="28"/>
        <v>0</v>
      </c>
    </row>
    <row r="172" spans="1:32" ht="15" customHeight="1">
      <c r="A172" s="696"/>
      <c r="B172" s="698"/>
      <c r="C172" s="568"/>
      <c r="D172" s="567"/>
      <c r="E172" s="372"/>
      <c r="F172" s="189" t="str">
        <f t="shared" si="34"/>
        <v/>
      </c>
      <c r="G172" s="384"/>
      <c r="H172" s="190" t="str">
        <f>IF(AND(E172="",G172=""),"",SUM(F172:G175))</f>
        <v/>
      </c>
      <c r="I172" s="191"/>
      <c r="J172" s="222"/>
      <c r="K172" s="222"/>
      <c r="L172" s="197" t="str">
        <f>IF(J172="Duplex",VLOOKUP(M172,'Características dos Cabos MX CH'!$C$12:$I$14,7),(IF(J172="Triplex",VLOOKUP(M172,'Características dos Cabos MX CH'!$C$15:$J$20,8),(IF(J172="Quadruplex",VLOOKUP(M172,'Características dos Cabos MX CH'!$C$21:$K$27,9),(IF(J172="13",VLOOKUP(M172,'Características dos Cabos MX CH'!$C$15:$L$20,10),"")))))))</f>
        <v/>
      </c>
      <c r="M172" s="350" t="str">
        <f t="shared" si="36"/>
        <v/>
      </c>
      <c r="N172" s="377"/>
      <c r="O172" s="192" t="str">
        <f t="shared" si="29"/>
        <v/>
      </c>
      <c r="P172" s="192" t="str">
        <f>IF(O172="","",SUM($O$166:O172)+$Z$166)</f>
        <v/>
      </c>
      <c r="Q172" s="192" t="str">
        <f t="shared" si="37"/>
        <v/>
      </c>
      <c r="R172" s="193" t="str">
        <f>IF(J172="Duplex",VLOOKUP(M172,'Características dos Cabos MX CH'!$C$12:$I$14,5),(IF(J172="Triplex",VLOOKUP(M172,'Características dos Cabos MX CH'!$C$15:$J$20,5),(IF(J172="Quadruplex",VLOOKUP(M172,'Características dos Cabos MX CH'!$C$21:$K$27,5),(IF(J172="13",VLOOKUP(M172,'Características dos Cabos MX CH'!$C$15:$L$20,5),"")))))))</f>
        <v/>
      </c>
      <c r="S172" s="193" t="str">
        <f>IF(J172="Duplex",VLOOKUP(M172,'Características dos Cabos MX CH'!$C$12:$I$14,6),(IF(J172="Triplex",VLOOKUP(M172,'Características dos Cabos MX CH'!$C$15:$J$20,6),(IF(J172="Quadruplex",VLOOKUP(M172,'Características dos Cabos MX CH'!$C$21:$K$27,6),(IF(J172="13",VLOOKUP(M172,'Características dos Cabos MX CH'!$C$15:$L$20,6),"")))))))</f>
        <v/>
      </c>
      <c r="T172" s="194" t="str">
        <f t="shared" si="27"/>
        <v/>
      </c>
      <c r="U172" s="447" t="str">
        <f>IF(J172="Duplex",VLOOKUP(M172,'Características dos Cabos MX CH'!$C$12:$I$14,2),(IF(J172="Triplex",VLOOKUP(M172,'Características dos Cabos MX CH'!$C$15:$J$20,2),(IF(J172="Quadruplex",VLOOKUP(M172,'Características dos Cabos MX CH'!$C$21:$K$27,2),(IF(J172="13",VLOOKUP(M172,'Características dos Cabos MX CH'!$C$15:$L$20,2),"")))))))</f>
        <v/>
      </c>
      <c r="V172" s="193" t="str">
        <f>IF(J172="Duplex",VLOOKUP(M172,'Características dos Cabos MX CH'!$C$12:$I$14,3),(IF(J172="Triplex",VLOOKUP(M172,'Características dos Cabos MX CH'!$C$15:$J$20,3),(IF(J172="Quadruplex",VLOOKUP(M172,'Características dos Cabos MX CH'!$C$21:$K$27,3),(IF(J172="13",VLOOKUP(M172,'Características dos Cabos MX CH'!$C$15:$L$20,3),"")))))))</f>
        <v/>
      </c>
      <c r="W172" s="195" t="str">
        <f t="shared" si="30"/>
        <v/>
      </c>
      <c r="X172" s="195" t="str">
        <f t="shared" si="31"/>
        <v/>
      </c>
      <c r="Y172" s="196" t="str">
        <f t="shared" si="32"/>
        <v/>
      </c>
      <c r="AA172" s="396">
        <f t="shared" si="33"/>
        <v>0</v>
      </c>
      <c r="AB172" s="396">
        <f t="shared" si="38"/>
        <v>0</v>
      </c>
      <c r="AC172" s="395"/>
      <c r="AE172" s="357" t="str">
        <f t="shared" si="35"/>
        <v/>
      </c>
      <c r="AF172" s="426">
        <f t="shared" si="28"/>
        <v>0</v>
      </c>
    </row>
    <row r="173" spans="1:32" ht="15" customHeight="1">
      <c r="A173" s="696"/>
      <c r="B173" s="698"/>
      <c r="C173" s="568"/>
      <c r="D173" s="368"/>
      <c r="E173" s="372"/>
      <c r="F173" s="189" t="str">
        <f t="shared" si="34"/>
        <v/>
      </c>
      <c r="G173" s="384"/>
      <c r="H173" s="190" t="str">
        <f>IF(AND(E173="",G173=""),"",SUM(F173:G175))</f>
        <v/>
      </c>
      <c r="I173" s="191"/>
      <c r="J173" s="222"/>
      <c r="K173" s="222"/>
      <c r="L173" s="197" t="str">
        <f>IF(J173="Duplex",VLOOKUP(M173,'Características dos Cabos MX CH'!$C$12:$I$14,7),(IF(J173="Triplex",VLOOKUP(M173,'Características dos Cabos MX CH'!$C$15:$J$20,8),(IF(J173="Quadruplex",VLOOKUP(M173,'Características dos Cabos MX CH'!$C$21:$K$27,9),(IF(J173="13",VLOOKUP(M173,'Características dos Cabos MX CH'!$C$15:$L$20,10),"")))))))</f>
        <v/>
      </c>
      <c r="M173" s="350" t="str">
        <f t="shared" si="36"/>
        <v/>
      </c>
      <c r="N173" s="377"/>
      <c r="O173" s="192" t="str">
        <f t="shared" si="29"/>
        <v/>
      </c>
      <c r="P173" s="192" t="str">
        <f>IF(O173="","",SUM($O$166:O173)+$Z$166)</f>
        <v/>
      </c>
      <c r="Q173" s="192" t="str">
        <f t="shared" si="37"/>
        <v/>
      </c>
      <c r="R173" s="193" t="str">
        <f>IF(J173="Duplex",VLOOKUP(M173,'Características dos Cabos MX CH'!$C$12:$I$14,5),(IF(J173="Triplex",VLOOKUP(M173,'Características dos Cabos MX CH'!$C$15:$J$20,5),(IF(J173="Quadruplex",VLOOKUP(M173,'Características dos Cabos MX CH'!$C$21:$K$27,5),(IF(J173="13",VLOOKUP(M173,'Características dos Cabos MX CH'!$C$15:$L$20,5),"")))))))</f>
        <v/>
      </c>
      <c r="S173" s="193" t="str">
        <f>IF(J173="Duplex",VLOOKUP(M173,'Características dos Cabos MX CH'!$C$12:$I$14,6),(IF(J173="Triplex",VLOOKUP(M173,'Características dos Cabos MX CH'!$C$15:$J$20,6),(IF(J173="Quadruplex",VLOOKUP(M173,'Características dos Cabos MX CH'!$C$21:$K$27,6),(IF(J173="13",VLOOKUP(M173,'Características dos Cabos MX CH'!$C$15:$L$20,6),"")))))))</f>
        <v/>
      </c>
      <c r="T173" s="194" t="str">
        <f t="shared" si="39" ref="T173:T195">IF(OR(Q173="",R173="",S173=""),"",IF(OR($L$11="PE",$L$11="pe"),Q173/R173,IF(OR($L$11="XLPE",$L$11="xlpe"),Q173/S173,"")))</f>
        <v/>
      </c>
      <c r="U173" s="447" t="str">
        <f>IF(J173="Duplex",VLOOKUP(M173,'Características dos Cabos MX CH'!$C$12:$I$14,2),(IF(J173="Triplex",VLOOKUP(M173,'Características dos Cabos MX CH'!$C$15:$J$20,2),(IF(J173="Quadruplex",VLOOKUP(M173,'Características dos Cabos MX CH'!$C$21:$K$27,2),(IF(J173="13",VLOOKUP(M173,'Características dos Cabos MX CH'!$C$15:$L$20,2),"")))))))</f>
        <v/>
      </c>
      <c r="V173" s="193" t="str">
        <f>IF(J173="Duplex",VLOOKUP(M173,'Características dos Cabos MX CH'!$C$12:$I$14,3),(IF(J173="Triplex",VLOOKUP(M173,'Características dos Cabos MX CH'!$C$15:$J$20,3),(IF(J173="Quadruplex",VLOOKUP(M173,'Características dos Cabos MX CH'!$C$21:$K$27,3),(IF(J173="13",VLOOKUP(M173,'Características dos Cabos MX CH'!$C$15:$L$20,3),"")))))))</f>
        <v/>
      </c>
      <c r="W173" s="195" t="str">
        <f t="shared" si="30"/>
        <v/>
      </c>
      <c r="X173" s="195" t="str">
        <f t="shared" si="31"/>
        <v/>
      </c>
      <c r="Y173" s="196" t="str">
        <f t="shared" si="32"/>
        <v/>
      </c>
      <c r="AA173" s="396">
        <f t="shared" si="33"/>
        <v>0</v>
      </c>
      <c r="AB173" s="396">
        <f t="shared" si="38"/>
        <v>0</v>
      </c>
      <c r="AC173" s="395"/>
      <c r="AE173" s="357" t="str">
        <f t="shared" si="35"/>
        <v/>
      </c>
      <c r="AF173" s="426">
        <f t="shared" si="40" ref="AF173:AF195">G173</f>
        <v>0</v>
      </c>
    </row>
    <row r="174" spans="1:32" ht="15" customHeight="1">
      <c r="A174" s="696"/>
      <c r="B174" s="698"/>
      <c r="C174" s="568"/>
      <c r="D174" s="368"/>
      <c r="E174" s="372"/>
      <c r="F174" s="189" t="str">
        <f t="shared" si="34"/>
        <v/>
      </c>
      <c r="G174" s="384"/>
      <c r="H174" s="190" t="str">
        <f>IF(AND(E174="",G174=""),"",SUM(F174:G175))</f>
        <v/>
      </c>
      <c r="I174" s="191"/>
      <c r="J174" s="222"/>
      <c r="K174" s="222"/>
      <c r="L174" s="197" t="str">
        <f>IF(J174="Duplex",VLOOKUP(M174,'Características dos Cabos MX CH'!$C$12:$I$14,7),(IF(J174="Triplex",VLOOKUP(M174,'Características dos Cabos MX CH'!$C$15:$J$20,8),(IF(J174="Quadruplex",VLOOKUP(M174,'Características dos Cabos MX CH'!$C$21:$K$27,9),(IF(J174="13",VLOOKUP(M174,'Características dos Cabos MX CH'!$C$15:$L$20,10),"")))))))</f>
        <v/>
      </c>
      <c r="M174" s="350" t="str">
        <f t="shared" si="36"/>
        <v/>
      </c>
      <c r="N174" s="377"/>
      <c r="O174" s="192" t="str">
        <f t="shared" si="41" ref="O174:O195">IF(OR(N174="",L174="",H174=""),"",N174*L174*H174)</f>
        <v/>
      </c>
      <c r="P174" s="192" t="str">
        <f>IF(O174="","",SUM($O$166:O174)+$Z$166)</f>
        <v/>
      </c>
      <c r="Q174" s="192" t="str">
        <f t="shared" si="37"/>
        <v/>
      </c>
      <c r="R174" s="193" t="str">
        <f>IF(J174="Duplex",VLOOKUP(M174,'Características dos Cabos MX CH'!$C$12:$I$14,5),(IF(J174="Triplex",VLOOKUP(M174,'Características dos Cabos MX CH'!$C$15:$J$20,5),(IF(J174="Quadruplex",VLOOKUP(M174,'Características dos Cabos MX CH'!$C$21:$K$27,5),(IF(J174="13",VLOOKUP(M174,'Características dos Cabos MX CH'!$C$15:$L$20,5),"")))))))</f>
        <v/>
      </c>
      <c r="S174" s="193" t="str">
        <f>IF(J174="Duplex",VLOOKUP(M174,'Características dos Cabos MX CH'!$C$12:$I$14,6),(IF(J174="Triplex",VLOOKUP(M174,'Características dos Cabos MX CH'!$C$15:$J$20,6),(IF(J174="Quadruplex",VLOOKUP(M174,'Características dos Cabos MX CH'!$C$21:$K$27,6),(IF(J174="13",VLOOKUP(M174,'Características dos Cabos MX CH'!$C$15:$L$20,6),"")))))))</f>
        <v/>
      </c>
      <c r="T174" s="194" t="str">
        <f t="shared" si="39"/>
        <v/>
      </c>
      <c r="U174" s="447" t="str">
        <f>IF(J174="Duplex",VLOOKUP(M174,'Características dos Cabos MX CH'!$C$12:$I$14,2),(IF(J174="Triplex",VLOOKUP(M174,'Características dos Cabos MX CH'!$C$15:$J$20,2),(IF(J174="Quadruplex",VLOOKUP(M174,'Características dos Cabos MX CH'!$C$21:$K$27,2),(IF(J174="13",VLOOKUP(M174,'Características dos Cabos MX CH'!$C$15:$L$20,2),"")))))))</f>
        <v/>
      </c>
      <c r="V174" s="193" t="str">
        <f>IF(J174="Duplex",VLOOKUP(M174,'Características dos Cabos MX CH'!$C$12:$I$14,3),(IF(J174="Triplex",VLOOKUP(M174,'Características dos Cabos MX CH'!$C$15:$J$20,3),(IF(J174="Quadruplex",VLOOKUP(M174,'Características dos Cabos MX CH'!$C$21:$K$27,3),(IF(J174="13",VLOOKUP(M174,'Características dos Cabos MX CH'!$C$15:$L$20,3),"")))))))</f>
        <v/>
      </c>
      <c r="W174" s="195" t="str">
        <f t="shared" si="42" ref="W174:W195">IF(OR(O174="",$G$15="",H174="",N174=""),"",IF(J174="Quadruplex",3*$L$13*U174*O174/1000*R174^2*8.76,IF(J174="Triplex",2*$L$13*U174*O174/1000*R174^2*8.76,IF(J174="Duplex",$L$13*U174*O174/1000*R174^2*8.76))))</f>
        <v/>
      </c>
      <c r="X174" s="195" t="str">
        <f t="shared" si="43" ref="X174:X195">IF(OR(O174="",$G$15="",H174="",N174=""),"",IF(J174="Quadruplex",3*$L$13*V174*O174/1000*R174^2*8.76,IF(J174="triplex",2*$L$13*V174*O174/1000*R174^2*8.76,IF(J174="Duplex",$L$13*V174*O174/1000*R174^2*8.76))))</f>
        <v/>
      </c>
      <c r="Y174" s="196" t="str">
        <f t="shared" si="44" ref="Y174:Y195">IF(OR(V174="",W174="",X174=""),"",IF($L$11="PE",W174,IF($L$11="XLPE",X174,"")))</f>
        <v/>
      </c>
      <c r="AA174" s="396">
        <f t="shared" si="33"/>
        <v>0</v>
      </c>
      <c r="AB174" s="396">
        <f t="shared" si="38"/>
        <v>0</v>
      </c>
      <c r="AC174" s="395"/>
      <c r="AE174" s="357" t="str">
        <f t="shared" si="35"/>
        <v/>
      </c>
      <c r="AF174" s="426">
        <f t="shared" si="40"/>
        <v>0</v>
      </c>
    </row>
    <row r="175" spans="1:32" ht="15" customHeight="1" thickBot="1">
      <c r="A175" s="696"/>
      <c r="B175" s="699"/>
      <c r="C175" s="568"/>
      <c r="D175" s="370"/>
      <c r="E175" s="369"/>
      <c r="F175" s="199" t="str">
        <f t="shared" si="34"/>
        <v/>
      </c>
      <c r="G175" s="385"/>
      <c r="H175" s="200" t="str">
        <f>IF(AND(E175="",G175=""),"",SUM(F175:G175))</f>
        <v/>
      </c>
      <c r="I175" s="201"/>
      <c r="J175" s="223"/>
      <c r="K175" s="223"/>
      <c r="L175" s="202" t="str">
        <f>IF(J175="Duplex",VLOOKUP(M175,'Características dos Cabos MX CH'!$C$12:$I$14,7),(IF(J175="Triplex",VLOOKUP(M175,'Características dos Cabos MX CH'!$C$15:$J$20,8),(IF(J175="Quadruplex",VLOOKUP(M175,'Características dos Cabos MX CH'!$C$21:$K$27,9),(IF(J175="13",VLOOKUP(M175,'Características dos Cabos MX CH'!$C$15:$L$20,10),"")))))))</f>
        <v/>
      </c>
      <c r="M175" s="353" t="str">
        <f t="shared" si="36"/>
        <v/>
      </c>
      <c r="N175" s="378"/>
      <c r="O175" s="203" t="str">
        <f t="shared" si="41"/>
        <v/>
      </c>
      <c r="P175" s="192" t="str">
        <f>IF(O175="","",SUM($O$166:O175)+$Z$166)</f>
        <v/>
      </c>
      <c r="Q175" s="203" t="str">
        <f t="shared" si="37"/>
        <v/>
      </c>
      <c r="R175" s="204" t="str">
        <f>IF(J175="Duplex",VLOOKUP(M175,'Características dos Cabos MX CH'!$C$12:$I$14,5),(IF(J175="Triplex",VLOOKUP(M175,'Características dos Cabos MX CH'!$C$15:$J$20,5),(IF(J175="Quadruplex",VLOOKUP(M175,'Características dos Cabos MX CH'!$C$21:$K$27,5),(IF(J175="13",VLOOKUP(M175,'Características dos Cabos MX CH'!$C$15:$L$20,5),"")))))))</f>
        <v/>
      </c>
      <c r="S175" s="204" t="str">
        <f>IF(J175="Duplex",VLOOKUP(M175,'Características dos Cabos MX CH'!$C$12:$I$14,6),(IF(J175="Triplex",VLOOKUP(M175,'Características dos Cabos MX CH'!$C$15:$J$20,6),(IF(J175="Quadruplex",VLOOKUP(M175,'Características dos Cabos MX CH'!$C$21:$K$27,6),(IF(J175="13",VLOOKUP(M175,'Características dos Cabos MX CH'!$C$15:$L$20,6),"")))))))</f>
        <v/>
      </c>
      <c r="T175" s="205" t="str">
        <f t="shared" si="39"/>
        <v/>
      </c>
      <c r="U175" s="448" t="str">
        <f>IF(J175="Duplex",VLOOKUP(M175,'Características dos Cabos MX CH'!$C$12:$I$14,2),(IF(J175="Triplex",VLOOKUP(M175,'Características dos Cabos MX CH'!$C$15:$J$20,2),(IF(J175="Quadruplex",VLOOKUP(M175,'Características dos Cabos MX CH'!$C$21:$K$27,2),(IF(J175="13",VLOOKUP(M175,'Características dos Cabos MX CH'!$C$15:$L$20,2),"")))))))</f>
        <v/>
      </c>
      <c r="V175" s="204" t="str">
        <f>IF(J175="Duplex",VLOOKUP(M175,'Características dos Cabos MX CH'!$C$12:$I$14,3),(IF(J175="Triplex",VLOOKUP(M175,'Características dos Cabos MX CH'!$C$15:$J$20,3),(IF(J175="Quadruplex",VLOOKUP(M175,'Características dos Cabos MX CH'!$C$21:$K$27,3),(IF(J175="13",VLOOKUP(M175,'Características dos Cabos MX CH'!$C$15:$L$20,3),"")))))))</f>
        <v/>
      </c>
      <c r="W175" s="206" t="str">
        <f t="shared" si="42"/>
        <v/>
      </c>
      <c r="X175" s="206" t="str">
        <f t="shared" si="43"/>
        <v/>
      </c>
      <c r="Y175" s="207" t="str">
        <f t="shared" si="44"/>
        <v/>
      </c>
      <c r="AA175" s="396">
        <f t="shared" si="33"/>
        <v>0</v>
      </c>
      <c r="AB175" s="396">
        <f t="shared" si="38"/>
        <v>0</v>
      </c>
      <c r="AC175" s="395"/>
      <c r="AE175" s="357" t="str">
        <f t="shared" si="35"/>
        <v/>
      </c>
      <c r="AF175" s="426">
        <f t="shared" si="40"/>
        <v>0</v>
      </c>
    </row>
    <row r="176" spans="1:32" ht="15" customHeight="1" thickTop="1">
      <c r="A176" s="696"/>
      <c r="B176" s="700" t="str">
        <f>CONCATENATE("Ramal 14 - Derivando no ponto ",C176)</f>
        <v xml:space="preserve">Ramal 14 - Derivando no ponto </v>
      </c>
      <c r="C176" s="572"/>
      <c r="D176" s="573"/>
      <c r="E176" s="374"/>
      <c r="F176" s="208" t="str">
        <f t="shared" si="34"/>
        <v/>
      </c>
      <c r="G176" s="386"/>
      <c r="H176" s="209" t="str">
        <f>IF(AND(E176="",G176=""),"",SUM(F176:G185))</f>
        <v/>
      </c>
      <c r="I176" s="210"/>
      <c r="J176" s="224"/>
      <c r="K176" s="224"/>
      <c r="L176" s="211" t="str">
        <f>IF(J176="Duplex",VLOOKUP(M176,'Características dos Cabos MX CH'!$C$12:$I$14,7),(IF(J176="Triplex",VLOOKUP(M176,'Características dos Cabos MX CH'!$C$15:$J$20,8),(IF(J176="Quadruplex",VLOOKUP(M176,'Características dos Cabos MX CH'!$C$21:$K$27,9),(IF(J176="13",VLOOKUP(M176,'Características dos Cabos MX CH'!$C$15:$L$20,10),"")))))))</f>
        <v/>
      </c>
      <c r="M176" s="354" t="str">
        <f t="shared" si="36"/>
        <v/>
      </c>
      <c r="N176" s="379"/>
      <c r="O176" s="212" t="str">
        <f t="shared" si="41"/>
        <v/>
      </c>
      <c r="P176" s="217" t="str">
        <f>IF(O176="","",O176+VLOOKUP(C176,$D$20:$Q$175,13,FALSE))</f>
        <v/>
      </c>
      <c r="Q176" s="212" t="str">
        <f t="shared" si="37"/>
        <v/>
      </c>
      <c r="R176" s="213" t="str">
        <f>IF(J176="Duplex",VLOOKUP(M176,'Características dos Cabos MX CH'!$C$12:$I$14,5),(IF(J176="Triplex",VLOOKUP(M176,'Características dos Cabos MX CH'!$C$15:$J$20,5),(IF(J176="Quadruplex",VLOOKUP(M176,'Características dos Cabos MX CH'!$C$21:$K$27,5),(IF(J176="13",VLOOKUP(M176,'Características dos Cabos MX CH'!$C$15:$L$20,5),"")))))))</f>
        <v/>
      </c>
      <c r="S176" s="213" t="str">
        <f>IF(J176="Duplex",VLOOKUP(M176,'Características dos Cabos MX CH'!$C$12:$I$14,6),(IF(J176="Triplex",VLOOKUP(M176,'Características dos Cabos MX CH'!$C$15:$J$20,6),(IF(J176="Quadruplex",VLOOKUP(M176,'Características dos Cabos MX CH'!$C$21:$K$27,6),(IF(J176="13",VLOOKUP(M176,'Características dos Cabos MX CH'!$C$15:$L$20,6),"")))))))</f>
        <v/>
      </c>
      <c r="T176" s="214" t="str">
        <f t="shared" si="39"/>
        <v/>
      </c>
      <c r="U176" s="450" t="str">
        <f>IF(J176="Duplex",VLOOKUP(M176,'Características dos Cabos MX CH'!$C$12:$I$14,2),(IF(J176="Triplex",VLOOKUP(M176,'Características dos Cabos MX CH'!$C$15:$J$20,2),(IF(J176="Quadruplex",VLOOKUP(M176,'Características dos Cabos MX CH'!$C$21:$K$27,2),(IF(J176="13",VLOOKUP(M176,'Características dos Cabos MX CH'!$C$15:$L$20,2),"")))))))</f>
        <v/>
      </c>
      <c r="V176" s="213" t="str">
        <f>IF(J176="Duplex",VLOOKUP(M176,'Características dos Cabos MX CH'!$C$12:$I$14,3),(IF(J176="Triplex",VLOOKUP(M176,'Características dos Cabos MX CH'!$C$15:$J$20,3),(IF(J176="Quadruplex",VLOOKUP(M176,'Características dos Cabos MX CH'!$C$21:$K$27,3),(IF(J176="13",VLOOKUP(M176,'Características dos Cabos MX CH'!$C$15:$L$20,3),"")))))))</f>
        <v/>
      </c>
      <c r="W176" s="215" t="str">
        <f t="shared" si="42"/>
        <v/>
      </c>
      <c r="X176" s="215" t="str">
        <f t="shared" si="43"/>
        <v/>
      </c>
      <c r="Y176" s="216" t="str">
        <f t="shared" si="44"/>
        <v/>
      </c>
      <c r="Z176" s="393" t="str">
        <f>IF(O176="","",VLOOKUP(C176,$D$20:$P$175,13,FALSE))</f>
        <v/>
      </c>
      <c r="AA176" s="396">
        <f t="shared" si="33"/>
        <v>0</v>
      </c>
      <c r="AB176" s="396">
        <f t="shared" si="38"/>
        <v>0</v>
      </c>
      <c r="AC176" s="395"/>
      <c r="AE176" s="357" t="str">
        <f t="shared" si="35"/>
        <v/>
      </c>
      <c r="AF176" s="426">
        <f t="shared" si="40"/>
        <v>0</v>
      </c>
    </row>
    <row r="177" spans="1:32" ht="15" customHeight="1">
      <c r="A177" s="696"/>
      <c r="B177" s="698"/>
      <c r="C177" s="562"/>
      <c r="D177" s="567"/>
      <c r="E177" s="372"/>
      <c r="F177" s="189" t="str">
        <f t="shared" si="34"/>
        <v/>
      </c>
      <c r="G177" s="384"/>
      <c r="H177" s="190" t="str">
        <f>IF(AND(E177="",G177=""),"",SUM(F177:G185))</f>
        <v/>
      </c>
      <c r="I177" s="191"/>
      <c r="J177" s="222"/>
      <c r="K177" s="222"/>
      <c r="L177" s="197" t="str">
        <f>IF(J177="Duplex",VLOOKUP(M177,'Características dos Cabos MX CH'!$C$12:$I$14,7),(IF(J177="Triplex",VLOOKUP(M177,'Características dos Cabos MX CH'!$C$15:$J$20,8),(IF(J177="Quadruplex",VLOOKUP(M177,'Características dos Cabos MX CH'!$C$21:$K$27,9),(IF(J177="13",VLOOKUP(M177,'Características dos Cabos MX CH'!$C$15:$L$20,10),"")))))))</f>
        <v/>
      </c>
      <c r="M177" s="350" t="str">
        <f t="shared" si="36"/>
        <v/>
      </c>
      <c r="N177" s="377"/>
      <c r="O177" s="192" t="str">
        <f t="shared" si="41"/>
        <v/>
      </c>
      <c r="P177" s="192" t="str">
        <f>IF(O177="","",SUM($O$176:O177)+$Z$176)</f>
        <v/>
      </c>
      <c r="Q177" s="192" t="str">
        <f t="shared" si="37"/>
        <v/>
      </c>
      <c r="R177" s="193" t="str">
        <f>IF(J177="Duplex",VLOOKUP(M177,'Características dos Cabos MX CH'!$C$12:$I$14,5),(IF(J177="Triplex",VLOOKUP(M177,'Características dos Cabos MX CH'!$C$15:$J$20,5),(IF(J177="Quadruplex",VLOOKUP(M177,'Características dos Cabos MX CH'!$C$21:$K$27,5),(IF(J177="13",VLOOKUP(M177,'Características dos Cabos MX CH'!$C$15:$L$20,5),"")))))))</f>
        <v/>
      </c>
      <c r="S177" s="193" t="str">
        <f>IF(J177="Duplex",VLOOKUP(M177,'Características dos Cabos MX CH'!$C$12:$I$14,6),(IF(J177="Triplex",VLOOKUP(M177,'Características dos Cabos MX CH'!$C$15:$J$20,6),(IF(J177="Quadruplex",VLOOKUP(M177,'Características dos Cabos MX CH'!$C$21:$K$27,6),(IF(J177="13",VLOOKUP(M177,'Características dos Cabos MX CH'!$C$15:$L$20,6),"")))))))</f>
        <v/>
      </c>
      <c r="T177" s="194" t="str">
        <f t="shared" si="39"/>
        <v/>
      </c>
      <c r="U177" s="447" t="str">
        <f>IF(J177="Duplex",VLOOKUP(M177,'Características dos Cabos MX CH'!$C$12:$I$14,2),(IF(J177="Triplex",VLOOKUP(M177,'Características dos Cabos MX CH'!$C$15:$J$20,2),(IF(J177="Quadruplex",VLOOKUP(M177,'Características dos Cabos MX CH'!$C$21:$K$27,2),(IF(J177="13",VLOOKUP(M177,'Características dos Cabos MX CH'!$C$15:$L$20,2),"")))))))</f>
        <v/>
      </c>
      <c r="V177" s="193" t="str">
        <f>IF(J177="Duplex",VLOOKUP(M177,'Características dos Cabos MX CH'!$C$12:$I$14,3),(IF(J177="Triplex",VLOOKUP(M177,'Características dos Cabos MX CH'!$C$15:$J$20,3),(IF(J177="Quadruplex",VLOOKUP(M177,'Características dos Cabos MX CH'!$C$21:$K$27,3),(IF(J177="13",VLOOKUP(M177,'Características dos Cabos MX CH'!$C$15:$L$20,3),"")))))))</f>
        <v/>
      </c>
      <c r="W177" s="195" t="str">
        <f t="shared" si="42"/>
        <v/>
      </c>
      <c r="X177" s="195" t="str">
        <f t="shared" si="43"/>
        <v/>
      </c>
      <c r="Y177" s="196" t="str">
        <f t="shared" si="44"/>
        <v/>
      </c>
      <c r="AA177" s="396">
        <f t="shared" si="33"/>
        <v>0</v>
      </c>
      <c r="AB177" s="396">
        <f t="shared" si="38"/>
        <v>0</v>
      </c>
      <c r="AC177" s="395"/>
      <c r="AE177" s="357" t="str">
        <f t="shared" si="35"/>
        <v/>
      </c>
      <c r="AF177" s="426">
        <f t="shared" si="40"/>
        <v>0</v>
      </c>
    </row>
    <row r="178" spans="1:32" ht="15" customHeight="1">
      <c r="A178" s="696"/>
      <c r="B178" s="698"/>
      <c r="C178" s="568"/>
      <c r="D178" s="567"/>
      <c r="E178" s="372"/>
      <c r="F178" s="189" t="str">
        <f t="shared" si="34"/>
        <v/>
      </c>
      <c r="G178" s="384"/>
      <c r="H178" s="190" t="str">
        <f>IF(AND(E178="",G178=""),"",SUM(F178:G185))</f>
        <v/>
      </c>
      <c r="I178" s="191"/>
      <c r="J178" s="222"/>
      <c r="K178" s="222"/>
      <c r="L178" s="197" t="str">
        <f>IF(J178="Duplex",VLOOKUP(M178,'Características dos Cabos MX CH'!$C$12:$I$14,7),(IF(J178="Triplex",VLOOKUP(M178,'Características dos Cabos MX CH'!$C$15:$J$20,8),(IF(J178="Quadruplex",VLOOKUP(M178,'Características dos Cabos MX CH'!$C$21:$K$27,9),(IF(J178="13",VLOOKUP(M178,'Características dos Cabos MX CH'!$C$15:$L$20,10),"")))))))</f>
        <v/>
      </c>
      <c r="M178" s="350" t="str">
        <f t="shared" si="36"/>
        <v/>
      </c>
      <c r="N178" s="377"/>
      <c r="O178" s="192" t="str">
        <f t="shared" si="41"/>
        <v/>
      </c>
      <c r="P178" s="192" t="str">
        <f>IF(O178="","",SUM($O$176:O178)+$Z$176)</f>
        <v/>
      </c>
      <c r="Q178" s="192" t="str">
        <f t="shared" si="37"/>
        <v/>
      </c>
      <c r="R178" s="193" t="str">
        <f>IF(J178="Duplex",VLOOKUP(M178,'Características dos Cabos MX CH'!$C$12:$I$14,5),(IF(J178="Triplex",VLOOKUP(M178,'Características dos Cabos MX CH'!$C$15:$J$20,5),(IF(J178="Quadruplex",VLOOKUP(M178,'Características dos Cabos MX CH'!$C$21:$K$27,5),(IF(J178="13",VLOOKUP(M178,'Características dos Cabos MX CH'!$C$15:$L$20,5),"")))))))</f>
        <v/>
      </c>
      <c r="S178" s="193" t="str">
        <f>IF(J178="Duplex",VLOOKUP(M178,'Características dos Cabos MX CH'!$C$12:$I$14,6),(IF(J178="Triplex",VLOOKUP(M178,'Características dos Cabos MX CH'!$C$15:$J$20,6),(IF(J178="Quadruplex",VLOOKUP(M178,'Características dos Cabos MX CH'!$C$21:$K$27,6),(IF(J178="13",VLOOKUP(M178,'Características dos Cabos MX CH'!$C$15:$L$20,6),"")))))))</f>
        <v/>
      </c>
      <c r="T178" s="194" t="str">
        <f t="shared" si="39"/>
        <v/>
      </c>
      <c r="U178" s="447" t="str">
        <f>IF(J178="Duplex",VLOOKUP(M178,'Características dos Cabos MX CH'!$C$12:$I$14,2),(IF(J178="Triplex",VLOOKUP(M178,'Características dos Cabos MX CH'!$C$15:$J$20,2),(IF(J178="Quadruplex",VLOOKUP(M178,'Características dos Cabos MX CH'!$C$21:$K$27,2),(IF(J178="13",VLOOKUP(M178,'Características dos Cabos MX CH'!$C$15:$L$20,2),"")))))))</f>
        <v/>
      </c>
      <c r="V178" s="193" t="str">
        <f>IF(J178="Duplex",VLOOKUP(M178,'Características dos Cabos MX CH'!$C$12:$I$14,3),(IF(J178="Triplex",VLOOKUP(M178,'Características dos Cabos MX CH'!$C$15:$J$20,3),(IF(J178="Quadruplex",VLOOKUP(M178,'Características dos Cabos MX CH'!$C$21:$K$27,3),(IF(J178="13",VLOOKUP(M178,'Características dos Cabos MX CH'!$C$15:$L$20,3),"")))))))</f>
        <v/>
      </c>
      <c r="W178" s="195" t="str">
        <f t="shared" si="42"/>
        <v/>
      </c>
      <c r="X178" s="195" t="str">
        <f t="shared" si="43"/>
        <v/>
      </c>
      <c r="Y178" s="196" t="str">
        <f t="shared" si="44"/>
        <v/>
      </c>
      <c r="AA178" s="396">
        <f t="shared" si="45" ref="AA178:AA195">D178</f>
        <v>0</v>
      </c>
      <c r="AB178" s="396">
        <f t="shared" si="38"/>
        <v>0</v>
      </c>
      <c r="AC178" s="395"/>
      <c r="AE178" s="357" t="str">
        <f t="shared" si="35"/>
        <v/>
      </c>
      <c r="AF178" s="426">
        <f t="shared" si="40"/>
        <v>0</v>
      </c>
    </row>
    <row r="179" spans="1:32" ht="15" customHeight="1">
      <c r="A179" s="696"/>
      <c r="B179" s="698"/>
      <c r="C179" s="568"/>
      <c r="D179" s="567"/>
      <c r="E179" s="372"/>
      <c r="F179" s="189" t="str">
        <f t="shared" si="34"/>
        <v/>
      </c>
      <c r="G179" s="384"/>
      <c r="H179" s="190" t="str">
        <f>IF(AND(E179="",G179=""),"",SUM(F179:G185))</f>
        <v/>
      </c>
      <c r="I179" s="191"/>
      <c r="J179" s="222"/>
      <c r="K179" s="222"/>
      <c r="L179" s="197" t="str">
        <f>IF(J179="Duplex",VLOOKUP(M179,'Características dos Cabos MX CH'!$C$12:$I$14,7),(IF(J179="Triplex",VLOOKUP(M179,'Características dos Cabos MX CH'!$C$15:$J$20,8),(IF(J179="Quadruplex",VLOOKUP(M179,'Características dos Cabos MX CH'!$C$21:$K$27,9),(IF(J179="13",VLOOKUP(M179,'Características dos Cabos MX CH'!$C$15:$L$20,10),"")))))))</f>
        <v/>
      </c>
      <c r="M179" s="350" t="str">
        <f t="shared" si="36"/>
        <v/>
      </c>
      <c r="N179" s="377"/>
      <c r="O179" s="192" t="str">
        <f t="shared" si="41"/>
        <v/>
      </c>
      <c r="P179" s="192" t="str">
        <f>IF(O179="","",SUM($O$176:O179)+$Z$176)</f>
        <v/>
      </c>
      <c r="Q179" s="192" t="str">
        <f t="shared" si="37"/>
        <v/>
      </c>
      <c r="R179" s="193" t="str">
        <f>IF(J179="Duplex",VLOOKUP(M179,'Características dos Cabos MX CH'!$C$12:$I$14,5),(IF(J179="Triplex",VLOOKUP(M179,'Características dos Cabos MX CH'!$C$15:$J$20,5),(IF(J179="Quadruplex",VLOOKUP(M179,'Características dos Cabos MX CH'!$C$21:$K$27,5),(IF(J179="13",VLOOKUP(M179,'Características dos Cabos MX CH'!$C$15:$L$20,5),"")))))))</f>
        <v/>
      </c>
      <c r="S179" s="193" t="str">
        <f>IF(J179="Duplex",VLOOKUP(M179,'Características dos Cabos MX CH'!$C$12:$I$14,6),(IF(J179="Triplex",VLOOKUP(M179,'Características dos Cabos MX CH'!$C$15:$J$20,6),(IF(J179="Quadruplex",VLOOKUP(M179,'Características dos Cabos MX CH'!$C$21:$K$27,6),(IF(J179="13",VLOOKUP(M179,'Características dos Cabos MX CH'!$C$15:$L$20,6),"")))))))</f>
        <v/>
      </c>
      <c r="T179" s="194" t="str">
        <f t="shared" si="39"/>
        <v/>
      </c>
      <c r="U179" s="447" t="str">
        <f>IF(J179="Duplex",VLOOKUP(M179,'Características dos Cabos MX CH'!$C$12:$I$14,2),(IF(J179="Triplex",VLOOKUP(M179,'Características dos Cabos MX CH'!$C$15:$J$20,2),(IF(J179="Quadruplex",VLOOKUP(M179,'Características dos Cabos MX CH'!$C$21:$K$27,2),(IF(J179="13",VLOOKUP(M179,'Características dos Cabos MX CH'!$C$15:$L$20,2),"")))))))</f>
        <v/>
      </c>
      <c r="V179" s="193" t="str">
        <f>IF(J179="Duplex",VLOOKUP(M179,'Características dos Cabos MX CH'!$C$12:$I$14,3),(IF(J179="Triplex",VLOOKUP(M179,'Características dos Cabos MX CH'!$C$15:$J$20,3),(IF(J179="Quadruplex",VLOOKUP(M179,'Características dos Cabos MX CH'!$C$21:$K$27,3),(IF(J179="13",VLOOKUP(M179,'Características dos Cabos MX CH'!$C$15:$L$20,3),"")))))))</f>
        <v/>
      </c>
      <c r="W179" s="195" t="str">
        <f t="shared" si="42"/>
        <v/>
      </c>
      <c r="X179" s="195" t="str">
        <f t="shared" si="43"/>
        <v/>
      </c>
      <c r="Y179" s="196" t="str">
        <f t="shared" si="44"/>
        <v/>
      </c>
      <c r="AA179" s="396">
        <f t="shared" si="45"/>
        <v>0</v>
      </c>
      <c r="AB179" s="396">
        <f t="shared" si="38"/>
        <v>0</v>
      </c>
      <c r="AC179" s="395"/>
      <c r="AE179" s="357" t="str">
        <f t="shared" si="35"/>
        <v/>
      </c>
      <c r="AF179" s="426">
        <f t="shared" si="40"/>
        <v>0</v>
      </c>
    </row>
    <row r="180" spans="1:32" ht="15" customHeight="1">
      <c r="A180" s="696"/>
      <c r="B180" s="698"/>
      <c r="C180" s="568"/>
      <c r="D180" s="567"/>
      <c r="E180" s="372"/>
      <c r="F180" s="189" t="str">
        <f t="shared" si="34"/>
        <v/>
      </c>
      <c r="G180" s="384"/>
      <c r="H180" s="190" t="str">
        <f>IF(AND(E180="",G180=""),"",SUM(F180:G185))</f>
        <v/>
      </c>
      <c r="I180" s="191"/>
      <c r="J180" s="222"/>
      <c r="K180" s="222"/>
      <c r="L180" s="197" t="str">
        <f>IF(J180="Duplex",VLOOKUP(M180,'Características dos Cabos MX CH'!$C$12:$I$14,7),(IF(J180="Triplex",VLOOKUP(M180,'Características dos Cabos MX CH'!$C$15:$J$20,8),(IF(J180="Quadruplex",VLOOKUP(M180,'Características dos Cabos MX CH'!$C$21:$K$27,9),(IF(J180="13",VLOOKUP(M180,'Características dos Cabos MX CH'!$C$15:$L$20,10),"")))))))</f>
        <v/>
      </c>
      <c r="M180" s="350" t="str">
        <f t="shared" si="36"/>
        <v/>
      </c>
      <c r="N180" s="377"/>
      <c r="O180" s="192" t="str">
        <f t="shared" si="41"/>
        <v/>
      </c>
      <c r="P180" s="192" t="str">
        <f>IF(O180="","",SUM($O$176:O180)+$Z$176)</f>
        <v/>
      </c>
      <c r="Q180" s="192" t="str">
        <f t="shared" si="37"/>
        <v/>
      </c>
      <c r="R180" s="193" t="str">
        <f>IF(J180="Duplex",VLOOKUP(M180,'Características dos Cabos MX CH'!$C$12:$I$14,5),(IF(J180="Triplex",VLOOKUP(M180,'Características dos Cabos MX CH'!$C$15:$J$20,5),(IF(J180="Quadruplex",VLOOKUP(M180,'Características dos Cabos MX CH'!$C$21:$K$27,5),(IF(J180="13",VLOOKUP(M180,'Características dos Cabos MX CH'!$C$15:$L$20,5),"")))))))</f>
        <v/>
      </c>
      <c r="S180" s="193" t="str">
        <f>IF(J180="Duplex",VLOOKUP(M180,'Características dos Cabos MX CH'!$C$12:$I$14,6),(IF(J180="Triplex",VLOOKUP(M180,'Características dos Cabos MX CH'!$C$15:$J$20,6),(IF(J180="Quadruplex",VLOOKUP(M180,'Características dos Cabos MX CH'!$C$21:$K$27,6),(IF(J180="13",VLOOKUP(M180,'Características dos Cabos MX CH'!$C$15:$L$20,6),"")))))))</f>
        <v/>
      </c>
      <c r="T180" s="194" t="str">
        <f t="shared" si="39"/>
        <v/>
      </c>
      <c r="U180" s="447" t="str">
        <f>IF(J180="Duplex",VLOOKUP(M180,'Características dos Cabos MX CH'!$C$12:$I$14,2),(IF(J180="Triplex",VLOOKUP(M180,'Características dos Cabos MX CH'!$C$15:$J$20,2),(IF(J180="Quadruplex",VLOOKUP(M180,'Características dos Cabos MX CH'!$C$21:$K$27,2),(IF(J180="13",VLOOKUP(M180,'Características dos Cabos MX CH'!$C$15:$L$20,2),"")))))))</f>
        <v/>
      </c>
      <c r="V180" s="193" t="str">
        <f>IF(J180="Duplex",VLOOKUP(M180,'Características dos Cabos MX CH'!$C$12:$I$14,3),(IF(J180="Triplex",VLOOKUP(M180,'Características dos Cabos MX CH'!$C$15:$J$20,3),(IF(J180="Quadruplex",VLOOKUP(M180,'Características dos Cabos MX CH'!$C$21:$K$27,3),(IF(J180="13",VLOOKUP(M180,'Características dos Cabos MX CH'!$C$15:$L$20,3),"")))))))</f>
        <v/>
      </c>
      <c r="W180" s="195" t="str">
        <f t="shared" si="42"/>
        <v/>
      </c>
      <c r="X180" s="195" t="str">
        <f t="shared" si="43"/>
        <v/>
      </c>
      <c r="Y180" s="196" t="str">
        <f t="shared" si="44"/>
        <v/>
      </c>
      <c r="AA180" s="396">
        <f t="shared" si="45"/>
        <v>0</v>
      </c>
      <c r="AB180" s="396">
        <f t="shared" si="38"/>
        <v>0</v>
      </c>
      <c r="AC180" s="395"/>
      <c r="AE180" s="357" t="str">
        <f t="shared" si="35"/>
        <v/>
      </c>
      <c r="AF180" s="426">
        <f t="shared" si="40"/>
        <v>0</v>
      </c>
    </row>
    <row r="181" spans="1:32" ht="15" customHeight="1">
      <c r="A181" s="696"/>
      <c r="B181" s="698"/>
      <c r="C181" s="568"/>
      <c r="D181" s="567"/>
      <c r="E181" s="372"/>
      <c r="F181" s="189" t="str">
        <f t="shared" si="46" ref="F181:F195">IF(OR(E181="",$G$11=""),"",E181*$G$11*($J$11/100+1)^($J$15-1))</f>
        <v/>
      </c>
      <c r="G181" s="384"/>
      <c r="H181" s="190" t="str">
        <f>IF(AND(E181="",G181=""),"",SUM(F181:G185))</f>
        <v/>
      </c>
      <c r="I181" s="191"/>
      <c r="J181" s="222"/>
      <c r="K181" s="222"/>
      <c r="L181" s="197" t="str">
        <f>IF(J181="Duplex",VLOOKUP(M181,'Características dos Cabos MX CH'!$C$12:$I$14,7),(IF(J181="Triplex",VLOOKUP(M181,'Características dos Cabos MX CH'!$C$15:$J$20,8),(IF(J181="Quadruplex",VLOOKUP(M181,'Características dos Cabos MX CH'!$C$21:$K$27,9),(IF(J181="13",VLOOKUP(M181,'Características dos Cabos MX CH'!$C$15:$L$20,10),"")))))))</f>
        <v/>
      </c>
      <c r="M181" s="350" t="str">
        <f t="shared" si="36"/>
        <v/>
      </c>
      <c r="N181" s="377"/>
      <c r="O181" s="192" t="str">
        <f t="shared" si="41"/>
        <v/>
      </c>
      <c r="P181" s="192" t="str">
        <f>IF(O181="","",SUM($O$176:O181)+$Z$176)</f>
        <v/>
      </c>
      <c r="Q181" s="192" t="str">
        <f t="shared" si="37"/>
        <v/>
      </c>
      <c r="R181" s="193" t="str">
        <f>IF(J181="Duplex",VLOOKUP(M181,'Características dos Cabos MX CH'!$C$12:$I$14,5),(IF(J181="Triplex",VLOOKUP(M181,'Características dos Cabos MX CH'!$C$15:$J$20,5),(IF(J181="Quadruplex",VLOOKUP(M181,'Características dos Cabos MX CH'!$C$21:$K$27,5),(IF(J181="13",VLOOKUP(M181,'Características dos Cabos MX CH'!$C$15:$L$20,5),"")))))))</f>
        <v/>
      </c>
      <c r="S181" s="193" t="str">
        <f>IF(J181="Duplex",VLOOKUP(M181,'Características dos Cabos MX CH'!$C$12:$I$14,6),(IF(J181="Triplex",VLOOKUP(M181,'Características dos Cabos MX CH'!$C$15:$J$20,6),(IF(J181="Quadruplex",VLOOKUP(M181,'Características dos Cabos MX CH'!$C$21:$K$27,6),(IF(J181="13",VLOOKUP(M181,'Características dos Cabos MX CH'!$C$15:$L$20,6),"")))))))</f>
        <v/>
      </c>
      <c r="T181" s="194" t="str">
        <f t="shared" si="39"/>
        <v/>
      </c>
      <c r="U181" s="447" t="str">
        <f>IF(J181="Duplex",VLOOKUP(M181,'Características dos Cabos MX CH'!$C$12:$I$14,2),(IF(J181="Triplex",VLOOKUP(M181,'Características dos Cabos MX CH'!$C$15:$J$20,2),(IF(J181="Quadruplex",VLOOKUP(M181,'Características dos Cabos MX CH'!$C$21:$K$27,2),(IF(J181="13",VLOOKUP(M181,'Características dos Cabos MX CH'!$C$15:$L$20,2),"")))))))</f>
        <v/>
      </c>
      <c r="V181" s="193" t="str">
        <f>IF(J181="Duplex",VLOOKUP(M181,'Características dos Cabos MX CH'!$C$12:$I$14,3),(IF(J181="Triplex",VLOOKUP(M181,'Características dos Cabos MX CH'!$C$15:$J$20,3),(IF(J181="Quadruplex",VLOOKUP(M181,'Características dos Cabos MX CH'!$C$21:$K$27,3),(IF(J181="13",VLOOKUP(M181,'Características dos Cabos MX CH'!$C$15:$L$20,3),"")))))))</f>
        <v/>
      </c>
      <c r="W181" s="195" t="str">
        <f t="shared" si="42"/>
        <v/>
      </c>
      <c r="X181" s="195" t="str">
        <f t="shared" si="43"/>
        <v/>
      </c>
      <c r="Y181" s="196" t="str">
        <f t="shared" si="44"/>
        <v/>
      </c>
      <c r="AA181" s="396">
        <f t="shared" si="45"/>
        <v>0</v>
      </c>
      <c r="AB181" s="396">
        <f t="shared" si="38"/>
        <v>0</v>
      </c>
      <c r="AC181" s="395"/>
      <c r="AE181" s="357" t="str">
        <f t="shared" si="35"/>
        <v/>
      </c>
      <c r="AF181" s="426">
        <f t="shared" si="40"/>
        <v>0</v>
      </c>
    </row>
    <row r="182" spans="1:32" ht="15" customHeight="1">
      <c r="A182" s="696"/>
      <c r="B182" s="698"/>
      <c r="C182" s="568"/>
      <c r="D182" s="567"/>
      <c r="E182" s="372"/>
      <c r="F182" s="189" t="str">
        <f t="shared" si="46"/>
        <v/>
      </c>
      <c r="G182" s="384"/>
      <c r="H182" s="190" t="str">
        <f>IF(AND(E182="",G182=""),"",SUM(F182:G185))</f>
        <v/>
      </c>
      <c r="I182" s="191"/>
      <c r="J182" s="222"/>
      <c r="K182" s="222"/>
      <c r="L182" s="197" t="str">
        <f>IF(J182="Duplex",VLOOKUP(M182,'Características dos Cabos MX CH'!$C$12:$I$14,7),(IF(J182="Triplex",VLOOKUP(M182,'Características dos Cabos MX CH'!$C$15:$J$20,8),(IF(J182="Quadruplex",VLOOKUP(M182,'Características dos Cabos MX CH'!$C$21:$K$27,9),(IF(J182="13",VLOOKUP(M182,'Características dos Cabos MX CH'!$C$15:$L$20,10),"")))))))</f>
        <v/>
      </c>
      <c r="M182" s="350" t="str">
        <f t="shared" si="36"/>
        <v/>
      </c>
      <c r="N182" s="377"/>
      <c r="O182" s="192" t="str">
        <f t="shared" si="41"/>
        <v/>
      </c>
      <c r="P182" s="192" t="str">
        <f>IF(O182="","",SUM($O$176:O182)+$Z$176)</f>
        <v/>
      </c>
      <c r="Q182" s="192" t="str">
        <f t="shared" si="37"/>
        <v/>
      </c>
      <c r="R182" s="193" t="str">
        <f>IF(J182="Duplex",VLOOKUP(M182,'Características dos Cabos MX CH'!$C$12:$I$14,5),(IF(J182="Triplex",VLOOKUP(M182,'Características dos Cabos MX CH'!$C$15:$J$20,5),(IF(J182="Quadruplex",VLOOKUP(M182,'Características dos Cabos MX CH'!$C$21:$K$27,5),(IF(J182="13",VLOOKUP(M182,'Características dos Cabos MX CH'!$C$15:$L$20,5),"")))))))</f>
        <v/>
      </c>
      <c r="S182" s="193" t="str">
        <f>IF(J182="Duplex",VLOOKUP(M182,'Características dos Cabos MX CH'!$C$12:$I$14,6),(IF(J182="Triplex",VLOOKUP(M182,'Características dos Cabos MX CH'!$C$15:$J$20,6),(IF(J182="Quadruplex",VLOOKUP(M182,'Características dos Cabos MX CH'!$C$21:$K$27,6),(IF(J182="13",VLOOKUP(M182,'Características dos Cabos MX CH'!$C$15:$L$20,6),"")))))))</f>
        <v/>
      </c>
      <c r="T182" s="194" t="str">
        <f t="shared" si="39"/>
        <v/>
      </c>
      <c r="U182" s="447" t="str">
        <f>IF(J182="Duplex",VLOOKUP(M182,'Características dos Cabos MX CH'!$C$12:$I$14,2),(IF(J182="Triplex",VLOOKUP(M182,'Características dos Cabos MX CH'!$C$15:$J$20,2),(IF(J182="Quadruplex",VLOOKUP(M182,'Características dos Cabos MX CH'!$C$21:$K$27,2),(IF(J182="13",VLOOKUP(M182,'Características dos Cabos MX CH'!$C$15:$L$20,2),"")))))))</f>
        <v/>
      </c>
      <c r="V182" s="193" t="str">
        <f>IF(J182="Duplex",VLOOKUP(M182,'Características dos Cabos MX CH'!$C$12:$I$14,3),(IF(J182="Triplex",VLOOKUP(M182,'Características dos Cabos MX CH'!$C$15:$J$20,3),(IF(J182="Quadruplex",VLOOKUP(M182,'Características dos Cabos MX CH'!$C$21:$K$27,3),(IF(J182="13",VLOOKUP(M182,'Características dos Cabos MX CH'!$C$15:$L$20,3),"")))))))</f>
        <v/>
      </c>
      <c r="W182" s="195" t="str">
        <f t="shared" si="42"/>
        <v/>
      </c>
      <c r="X182" s="195" t="str">
        <f t="shared" si="43"/>
        <v/>
      </c>
      <c r="Y182" s="196" t="str">
        <f t="shared" si="44"/>
        <v/>
      </c>
      <c r="AA182" s="396">
        <f t="shared" si="45"/>
        <v>0</v>
      </c>
      <c r="AB182" s="396">
        <f t="shared" si="38"/>
        <v>0</v>
      </c>
      <c r="AC182" s="395"/>
      <c r="AE182" s="357" t="str">
        <f t="shared" si="35"/>
        <v/>
      </c>
      <c r="AF182" s="426">
        <f t="shared" si="40"/>
        <v>0</v>
      </c>
    </row>
    <row r="183" spans="1:32" ht="15" customHeight="1">
      <c r="A183" s="696"/>
      <c r="B183" s="698"/>
      <c r="C183" s="568"/>
      <c r="D183" s="368"/>
      <c r="E183" s="372"/>
      <c r="F183" s="189" t="str">
        <f t="shared" si="46"/>
        <v/>
      </c>
      <c r="G183" s="384"/>
      <c r="H183" s="190" t="str">
        <f>IF(AND(E183="",G183=""),"",SUM(F183:G185))</f>
        <v/>
      </c>
      <c r="I183" s="191"/>
      <c r="J183" s="222"/>
      <c r="K183" s="222"/>
      <c r="L183" s="197" t="str">
        <f>IF(J183="Duplex",VLOOKUP(M183,'Características dos Cabos MX CH'!$C$12:$I$14,7),(IF(J183="Triplex",VLOOKUP(M183,'Características dos Cabos MX CH'!$C$15:$J$20,8),(IF(J183="Quadruplex",VLOOKUP(M183,'Características dos Cabos MX CH'!$C$21:$K$27,9),(IF(J183="13",VLOOKUP(M183,'Características dos Cabos MX CH'!$C$15:$L$20,10),"")))))))</f>
        <v/>
      </c>
      <c r="M183" s="350" t="str">
        <f t="shared" si="36"/>
        <v/>
      </c>
      <c r="N183" s="377"/>
      <c r="O183" s="192" t="str">
        <f t="shared" si="41"/>
        <v/>
      </c>
      <c r="P183" s="192" t="str">
        <f>IF(O183="","",SUM($O$176:O183)+$Z$176)</f>
        <v/>
      </c>
      <c r="Q183" s="192" t="str">
        <f t="shared" si="37"/>
        <v/>
      </c>
      <c r="R183" s="193" t="str">
        <f>IF(J183="Duplex",VLOOKUP(M183,'Características dos Cabos MX CH'!$C$12:$I$14,5),(IF(J183="Triplex",VLOOKUP(M183,'Características dos Cabos MX CH'!$C$15:$J$20,5),(IF(J183="Quadruplex",VLOOKUP(M183,'Características dos Cabos MX CH'!$C$21:$K$27,5),(IF(J183="13",VLOOKUP(M183,'Características dos Cabos MX CH'!$C$15:$L$20,5),"")))))))</f>
        <v/>
      </c>
      <c r="S183" s="193" t="str">
        <f>IF(J183="Duplex",VLOOKUP(M183,'Características dos Cabos MX CH'!$C$12:$I$14,6),(IF(J183="Triplex",VLOOKUP(M183,'Características dos Cabos MX CH'!$C$15:$J$20,6),(IF(J183="Quadruplex",VLOOKUP(M183,'Características dos Cabos MX CH'!$C$21:$K$27,6),(IF(J183="13",VLOOKUP(M183,'Características dos Cabos MX CH'!$C$15:$L$20,6),"")))))))</f>
        <v/>
      </c>
      <c r="T183" s="194" t="str">
        <f t="shared" si="39"/>
        <v/>
      </c>
      <c r="U183" s="447" t="str">
        <f>IF(J183="Duplex",VLOOKUP(M183,'Características dos Cabos MX CH'!$C$12:$I$14,2),(IF(J183="Triplex",VLOOKUP(M183,'Características dos Cabos MX CH'!$C$15:$J$20,2),(IF(J183="Quadruplex",VLOOKUP(M183,'Características dos Cabos MX CH'!$C$21:$K$27,2),(IF(J183="13",VLOOKUP(M183,'Características dos Cabos MX CH'!$C$15:$L$20,2),"")))))))</f>
        <v/>
      </c>
      <c r="V183" s="193" t="str">
        <f>IF(J183="Duplex",VLOOKUP(M183,'Características dos Cabos MX CH'!$C$12:$I$14,3),(IF(J183="Triplex",VLOOKUP(M183,'Características dos Cabos MX CH'!$C$15:$J$20,3),(IF(J183="Quadruplex",VLOOKUP(M183,'Características dos Cabos MX CH'!$C$21:$K$27,3),(IF(J183="13",VLOOKUP(M183,'Características dos Cabos MX CH'!$C$15:$L$20,3),"")))))))</f>
        <v/>
      </c>
      <c r="W183" s="195" t="str">
        <f t="shared" si="42"/>
        <v/>
      </c>
      <c r="X183" s="195" t="str">
        <f t="shared" si="43"/>
        <v/>
      </c>
      <c r="Y183" s="196" t="str">
        <f t="shared" si="44"/>
        <v/>
      </c>
      <c r="AA183" s="396">
        <f t="shared" si="45"/>
        <v>0</v>
      </c>
      <c r="AB183" s="396">
        <f t="shared" si="38"/>
        <v>0</v>
      </c>
      <c r="AC183" s="395"/>
      <c r="AE183" s="357" t="str">
        <f t="shared" si="35"/>
        <v/>
      </c>
      <c r="AF183" s="426">
        <f t="shared" si="40"/>
        <v>0</v>
      </c>
    </row>
    <row r="184" spans="1:32" ht="15" customHeight="1">
      <c r="A184" s="696"/>
      <c r="B184" s="698"/>
      <c r="C184" s="568"/>
      <c r="D184" s="368"/>
      <c r="E184" s="372"/>
      <c r="F184" s="189" t="str">
        <f t="shared" si="46"/>
        <v/>
      </c>
      <c r="G184" s="384"/>
      <c r="H184" s="190" t="str">
        <f>IF(AND(E184="",G184=""),"",SUM(F184:G185))</f>
        <v/>
      </c>
      <c r="I184" s="191"/>
      <c r="J184" s="222"/>
      <c r="K184" s="222"/>
      <c r="L184" s="197" t="str">
        <f>IF(J184="Duplex",VLOOKUP(M184,'Características dos Cabos MX CH'!$C$12:$I$14,7),(IF(J184="Triplex",VLOOKUP(M184,'Características dos Cabos MX CH'!$C$15:$J$20,8),(IF(J184="Quadruplex",VLOOKUP(M184,'Características dos Cabos MX CH'!$C$21:$K$27,9),(IF(J184="13",VLOOKUP(M184,'Características dos Cabos MX CH'!$C$15:$L$20,10),"")))))))</f>
        <v/>
      </c>
      <c r="M184" s="350" t="str">
        <f t="shared" si="36"/>
        <v/>
      </c>
      <c r="N184" s="377"/>
      <c r="O184" s="192" t="str">
        <f t="shared" si="41"/>
        <v/>
      </c>
      <c r="P184" s="192" t="str">
        <f>IF(O184="","",SUM($O$176:O184)+$Z$176)</f>
        <v/>
      </c>
      <c r="Q184" s="192" t="str">
        <f t="shared" si="37"/>
        <v/>
      </c>
      <c r="R184" s="193" t="str">
        <f>IF(J184="Duplex",VLOOKUP(M184,'Características dos Cabos MX CH'!$C$12:$I$14,5),(IF(J184="Triplex",VLOOKUP(M184,'Características dos Cabos MX CH'!$C$15:$J$20,5),(IF(J184="Quadruplex",VLOOKUP(M184,'Características dos Cabos MX CH'!$C$21:$K$27,5),(IF(J184="13",VLOOKUP(M184,'Características dos Cabos MX CH'!$C$15:$L$20,5),"")))))))</f>
        <v/>
      </c>
      <c r="S184" s="193" t="str">
        <f>IF(J184="Duplex",VLOOKUP(M184,'Características dos Cabos MX CH'!$C$12:$I$14,6),(IF(J184="Triplex",VLOOKUP(M184,'Características dos Cabos MX CH'!$C$15:$J$20,6),(IF(J184="Quadruplex",VLOOKUP(M184,'Características dos Cabos MX CH'!$C$21:$K$27,6),(IF(J184="13",VLOOKUP(M184,'Características dos Cabos MX CH'!$C$15:$L$20,6),"")))))))</f>
        <v/>
      </c>
      <c r="T184" s="194" t="str">
        <f t="shared" si="39"/>
        <v/>
      </c>
      <c r="U184" s="447" t="str">
        <f>IF(J184="Duplex",VLOOKUP(M184,'Características dos Cabos MX CH'!$C$12:$I$14,2),(IF(J184="Triplex",VLOOKUP(M184,'Características dos Cabos MX CH'!$C$15:$J$20,2),(IF(J184="Quadruplex",VLOOKUP(M184,'Características dos Cabos MX CH'!$C$21:$K$27,2),(IF(J184="13",VLOOKUP(M184,'Características dos Cabos MX CH'!$C$15:$L$20,2),"")))))))</f>
        <v/>
      </c>
      <c r="V184" s="193" t="str">
        <f>IF(J184="Duplex",VLOOKUP(M184,'Características dos Cabos MX CH'!$C$12:$I$14,3),(IF(J184="Triplex",VLOOKUP(M184,'Características dos Cabos MX CH'!$C$15:$J$20,3),(IF(J184="Quadruplex",VLOOKUP(M184,'Características dos Cabos MX CH'!$C$21:$K$27,3),(IF(J184="13",VLOOKUP(M184,'Características dos Cabos MX CH'!$C$15:$L$20,3),"")))))))</f>
        <v/>
      </c>
      <c r="W184" s="195" t="str">
        <f t="shared" si="42"/>
        <v/>
      </c>
      <c r="X184" s="195" t="str">
        <f t="shared" si="43"/>
        <v/>
      </c>
      <c r="Y184" s="196" t="str">
        <f t="shared" si="44"/>
        <v/>
      </c>
      <c r="AA184" s="396">
        <f t="shared" si="45"/>
        <v>0</v>
      </c>
      <c r="AB184" s="396">
        <f t="shared" si="38"/>
        <v>0</v>
      </c>
      <c r="AC184" s="395"/>
      <c r="AE184" s="357" t="str">
        <f t="shared" si="35"/>
        <v/>
      </c>
      <c r="AF184" s="426">
        <f t="shared" si="40"/>
        <v>0</v>
      </c>
    </row>
    <row r="185" spans="1:32" ht="15" customHeight="1" thickBot="1">
      <c r="A185" s="696"/>
      <c r="B185" s="699"/>
      <c r="C185" s="568"/>
      <c r="D185" s="370"/>
      <c r="E185" s="369"/>
      <c r="F185" s="199" t="str">
        <f t="shared" si="46"/>
        <v/>
      </c>
      <c r="G185" s="385"/>
      <c r="H185" s="200" t="str">
        <f>IF(AND(E185="",G185=""),"",SUM(F185:G185))</f>
        <v/>
      </c>
      <c r="I185" s="201"/>
      <c r="J185" s="223"/>
      <c r="K185" s="223"/>
      <c r="L185" s="202" t="str">
        <f>IF(J185="Duplex",VLOOKUP(M185,'Características dos Cabos MX CH'!$C$12:$I$14,7),(IF(J185="Triplex",VLOOKUP(M185,'Características dos Cabos MX CH'!$C$15:$J$20,8),(IF(J185="Quadruplex",VLOOKUP(M185,'Características dos Cabos MX CH'!$C$21:$K$27,9),(IF(J185="13",VLOOKUP(M185,'Características dos Cabos MX CH'!$C$15:$L$20,10),"")))))))</f>
        <v/>
      </c>
      <c r="M185" s="353" t="str">
        <f t="shared" si="36"/>
        <v/>
      </c>
      <c r="N185" s="378"/>
      <c r="O185" s="203" t="str">
        <f t="shared" si="41"/>
        <v/>
      </c>
      <c r="P185" s="192" t="str">
        <f>IF(O185="","",SUM($O$176:O185)+$Z$176)</f>
        <v/>
      </c>
      <c r="Q185" s="203" t="str">
        <f t="shared" si="37"/>
        <v/>
      </c>
      <c r="R185" s="204" t="str">
        <f>IF(J185="Duplex",VLOOKUP(M185,'Características dos Cabos MX CH'!$C$12:$I$14,5),(IF(J185="Triplex",VLOOKUP(M185,'Características dos Cabos MX CH'!$C$15:$J$20,5),(IF(J185="Quadruplex",VLOOKUP(M185,'Características dos Cabos MX CH'!$C$21:$K$27,5),(IF(J185="13",VLOOKUP(M185,'Características dos Cabos MX CH'!$C$15:$L$20,5),"")))))))</f>
        <v/>
      </c>
      <c r="S185" s="204" t="str">
        <f>IF(J185="Duplex",VLOOKUP(M185,'Características dos Cabos MX CH'!$C$12:$I$14,6),(IF(J185="Triplex",VLOOKUP(M185,'Características dos Cabos MX CH'!$C$15:$J$20,6),(IF(J185="Quadruplex",VLOOKUP(M185,'Características dos Cabos MX CH'!$C$21:$K$27,6),(IF(J185="13",VLOOKUP(M185,'Características dos Cabos MX CH'!$C$15:$L$20,6),"")))))))</f>
        <v/>
      </c>
      <c r="T185" s="205" t="str">
        <f t="shared" si="39"/>
        <v/>
      </c>
      <c r="U185" s="448" t="str">
        <f>IF(J185="Duplex",VLOOKUP(M185,'Características dos Cabos MX CH'!$C$12:$I$14,2),(IF(J185="Triplex",VLOOKUP(M185,'Características dos Cabos MX CH'!$C$15:$J$20,2),(IF(J185="Quadruplex",VLOOKUP(M185,'Características dos Cabos MX CH'!$C$21:$K$27,2),(IF(J185="13",VLOOKUP(M185,'Características dos Cabos MX CH'!$C$15:$L$20,2),"")))))))</f>
        <v/>
      </c>
      <c r="V185" s="204" t="str">
        <f>IF(J185="Duplex",VLOOKUP(M185,'Características dos Cabos MX CH'!$C$12:$I$14,3),(IF(J185="Triplex",VLOOKUP(M185,'Características dos Cabos MX CH'!$C$15:$J$20,3),(IF(J185="Quadruplex",VLOOKUP(M185,'Características dos Cabos MX CH'!$C$21:$K$27,3),(IF(J185="13",VLOOKUP(M185,'Características dos Cabos MX CH'!$C$15:$L$20,3),"")))))))</f>
        <v/>
      </c>
      <c r="W185" s="206" t="str">
        <f t="shared" si="42"/>
        <v/>
      </c>
      <c r="X185" s="206" t="str">
        <f t="shared" si="43"/>
        <v/>
      </c>
      <c r="Y185" s="207" t="str">
        <f t="shared" si="44"/>
        <v/>
      </c>
      <c r="AA185" s="396">
        <f t="shared" si="45"/>
        <v>0</v>
      </c>
      <c r="AB185" s="396">
        <f t="shared" si="38"/>
        <v>0</v>
      </c>
      <c r="AC185" s="395"/>
      <c r="AE185" s="357" t="str">
        <f t="shared" si="35"/>
        <v/>
      </c>
      <c r="AF185" s="426">
        <f t="shared" si="40"/>
        <v>0</v>
      </c>
    </row>
    <row r="186" spans="1:32" ht="15" customHeight="1" thickTop="1">
      <c r="A186" s="696"/>
      <c r="B186" s="700" t="str">
        <f>CONCATENATE("Ramal 15 - Derivando no ponto ",C186)</f>
        <v xml:space="preserve">Ramal 15 - Derivando no ponto </v>
      </c>
      <c r="C186" s="572"/>
      <c r="D186" s="573"/>
      <c r="E186" s="374"/>
      <c r="F186" s="208" t="str">
        <f t="shared" si="46"/>
        <v/>
      </c>
      <c r="G186" s="386"/>
      <c r="H186" s="209" t="str">
        <f>IF(AND(E186="",G186=""),"",SUM(F186:G195))</f>
        <v/>
      </c>
      <c r="I186" s="210"/>
      <c r="J186" s="224"/>
      <c r="K186" s="224"/>
      <c r="L186" s="211" t="str">
        <f>IF(J186="Duplex",VLOOKUP(M186,'Características dos Cabos MX CH'!$C$12:$I$14,7),(IF(J186="Triplex",VLOOKUP(M186,'Características dos Cabos MX CH'!$C$15:$J$20,8),(IF(J186="Quadruplex",VLOOKUP(M186,'Características dos Cabos MX CH'!$C$21:$K$27,9),(IF(J186="13",VLOOKUP(M186,'Características dos Cabos MX CH'!$C$15:$L$20,10),"")))))))</f>
        <v/>
      </c>
      <c r="M186" s="354" t="str">
        <f t="shared" si="36"/>
        <v/>
      </c>
      <c r="N186" s="379"/>
      <c r="O186" s="212" t="str">
        <f t="shared" si="41"/>
        <v/>
      </c>
      <c r="P186" s="217" t="str">
        <f>IF(O186="","",O186+VLOOKUP(C186,$D$20:$Q$185,13,FALSE))</f>
        <v/>
      </c>
      <c r="Q186" s="212" t="str">
        <f t="shared" si="37"/>
        <v/>
      </c>
      <c r="R186" s="213" t="str">
        <f>IF(J186="Duplex",VLOOKUP(M186,'Características dos Cabos MX CH'!$C$12:$I$14,5),(IF(J186="Triplex",VLOOKUP(M186,'Características dos Cabos MX CH'!$C$15:$J$20,5),(IF(J186="Quadruplex",VLOOKUP(M186,'Características dos Cabos MX CH'!$C$21:$K$27,5),(IF(J186="13",VLOOKUP(M186,'Características dos Cabos MX CH'!$C$15:$L$20,5),"")))))))</f>
        <v/>
      </c>
      <c r="S186" s="213" t="str">
        <f>IF(J186="Duplex",VLOOKUP(M186,'Características dos Cabos MX CH'!$C$12:$I$14,6),(IF(J186="Triplex",VLOOKUP(M186,'Características dos Cabos MX CH'!$C$15:$J$20,6),(IF(J186="Quadruplex",VLOOKUP(M186,'Características dos Cabos MX CH'!$C$21:$K$27,6),(IF(J186="13",VLOOKUP(M186,'Características dos Cabos MX CH'!$C$15:$L$20,6),"")))))))</f>
        <v/>
      </c>
      <c r="T186" s="214" t="str">
        <f t="shared" si="39"/>
        <v/>
      </c>
      <c r="U186" s="450" t="str">
        <f>IF(J186="Duplex",VLOOKUP(M186,'Características dos Cabos MX CH'!$C$12:$I$14,2),(IF(J186="Triplex",VLOOKUP(M186,'Características dos Cabos MX CH'!$C$15:$J$20,2),(IF(J186="Quadruplex",VLOOKUP(M186,'Características dos Cabos MX CH'!$C$21:$K$27,2),(IF(J186="13",VLOOKUP(M186,'Características dos Cabos MX CH'!$C$15:$L$20,2),"")))))))</f>
        <v/>
      </c>
      <c r="V186" s="213" t="str">
        <f>IF(J186="Duplex",VLOOKUP(M186,'Características dos Cabos MX CH'!$C$12:$I$14,3),(IF(J186="Triplex",VLOOKUP(M186,'Características dos Cabos MX CH'!$C$15:$J$20,3),(IF(J186="Quadruplex",VLOOKUP(M186,'Características dos Cabos MX CH'!$C$21:$K$27,3),(IF(J186="13",VLOOKUP(M186,'Características dos Cabos MX CH'!$C$15:$L$20,3),"")))))))</f>
        <v/>
      </c>
      <c r="W186" s="215" t="str">
        <f t="shared" si="42"/>
        <v/>
      </c>
      <c r="X186" s="215" t="str">
        <f t="shared" si="43"/>
        <v/>
      </c>
      <c r="Y186" s="216" t="str">
        <f t="shared" si="44"/>
        <v/>
      </c>
      <c r="Z186" s="393" t="str">
        <f>IF(O186="","",VLOOKUP(C186,$D$20:$P$185,13,FALSE))</f>
        <v/>
      </c>
      <c r="AA186" s="396">
        <f t="shared" si="45"/>
        <v>0</v>
      </c>
      <c r="AB186" s="396">
        <f t="shared" si="38"/>
        <v>0</v>
      </c>
      <c r="AC186" s="395"/>
      <c r="AE186" s="357" t="str">
        <f t="shared" si="35"/>
        <v/>
      </c>
      <c r="AF186" s="426">
        <f t="shared" si="40"/>
        <v>0</v>
      </c>
    </row>
    <row r="187" spans="1:32" ht="15" customHeight="1">
      <c r="A187" s="696"/>
      <c r="B187" s="698"/>
      <c r="C187" s="562"/>
      <c r="D187" s="567"/>
      <c r="E187" s="372"/>
      <c r="F187" s="189" t="str">
        <f t="shared" si="46"/>
        <v/>
      </c>
      <c r="G187" s="384"/>
      <c r="H187" s="190" t="str">
        <f>IF(AND(E187="",G187=""),"",SUM(F187:G195))</f>
        <v/>
      </c>
      <c r="I187" s="191"/>
      <c r="J187" s="222"/>
      <c r="K187" s="222"/>
      <c r="L187" s="197" t="str">
        <f>IF(J187="Duplex",VLOOKUP(M187,'Características dos Cabos MX CH'!$C$12:$I$14,7),(IF(J187="Triplex",VLOOKUP(M187,'Características dos Cabos MX CH'!$C$15:$J$20,8),(IF(J187="Quadruplex",VLOOKUP(M187,'Características dos Cabos MX CH'!$C$21:$K$27,9),(IF(J187="13",VLOOKUP(M187,'Características dos Cabos MX CH'!$C$15:$L$20,10),"")))))))</f>
        <v/>
      </c>
      <c r="M187" s="350" t="str">
        <f t="shared" si="36"/>
        <v/>
      </c>
      <c r="N187" s="377"/>
      <c r="O187" s="192" t="str">
        <f t="shared" si="41"/>
        <v/>
      </c>
      <c r="P187" s="192" t="str">
        <f>IF(O187="","",SUM($O$186:O187)+$Z$186)</f>
        <v/>
      </c>
      <c r="Q187" s="192" t="str">
        <f t="shared" si="37"/>
        <v/>
      </c>
      <c r="R187" s="193" t="str">
        <f>IF(J187="Duplex",VLOOKUP(M187,'Características dos Cabos MX CH'!$C$12:$I$14,5),(IF(J187="Triplex",VLOOKUP(M187,'Características dos Cabos MX CH'!$C$15:$J$20,5),(IF(J187="Quadruplex",VLOOKUP(M187,'Características dos Cabos MX CH'!$C$21:$K$27,5),(IF(J187="13",VLOOKUP(M187,'Características dos Cabos MX CH'!$C$15:$L$20,5),"")))))))</f>
        <v/>
      </c>
      <c r="S187" s="193" t="str">
        <f>IF(J187="Duplex",VLOOKUP(M187,'Características dos Cabos MX CH'!$C$12:$I$14,6),(IF(J187="Triplex",VLOOKUP(M187,'Características dos Cabos MX CH'!$C$15:$J$20,6),(IF(J187="Quadruplex",VLOOKUP(M187,'Características dos Cabos MX CH'!$C$21:$K$27,6),(IF(J187="13",VLOOKUP(M187,'Características dos Cabos MX CH'!$C$15:$L$20,6),"")))))))</f>
        <v/>
      </c>
      <c r="T187" s="194" t="str">
        <f t="shared" si="39"/>
        <v/>
      </c>
      <c r="U187" s="447" t="str">
        <f>IF(J187="Duplex",VLOOKUP(M187,'Características dos Cabos MX CH'!$C$12:$I$14,2),(IF(J187="Triplex",VLOOKUP(M187,'Características dos Cabos MX CH'!$C$15:$J$20,2),(IF(J187="Quadruplex",VLOOKUP(M187,'Características dos Cabos MX CH'!$C$21:$K$27,2),(IF(J187="13",VLOOKUP(M187,'Características dos Cabos MX CH'!$C$15:$L$20,2),"")))))))</f>
        <v/>
      </c>
      <c r="V187" s="193" t="str">
        <f>IF(J187="Duplex",VLOOKUP(M187,'Características dos Cabos MX CH'!$C$12:$I$14,3),(IF(J187="Triplex",VLOOKUP(M187,'Características dos Cabos MX CH'!$C$15:$J$20,3),(IF(J187="Quadruplex",VLOOKUP(M187,'Características dos Cabos MX CH'!$C$21:$K$27,3),(IF(J187="13",VLOOKUP(M187,'Características dos Cabos MX CH'!$C$15:$L$20,3),"")))))))</f>
        <v/>
      </c>
      <c r="W187" s="195" t="str">
        <f t="shared" si="42"/>
        <v/>
      </c>
      <c r="X187" s="195" t="str">
        <f t="shared" si="43"/>
        <v/>
      </c>
      <c r="Y187" s="196" t="str">
        <f t="shared" si="44"/>
        <v/>
      </c>
      <c r="AA187" s="396">
        <f t="shared" si="45"/>
        <v>0</v>
      </c>
      <c r="AB187" s="396">
        <f t="shared" si="38"/>
        <v>0</v>
      </c>
      <c r="AC187" s="395"/>
      <c r="AE187" s="357" t="str">
        <f t="shared" si="35"/>
        <v/>
      </c>
      <c r="AF187" s="426">
        <f t="shared" si="40"/>
        <v>0</v>
      </c>
    </row>
    <row r="188" spans="1:32" ht="15" customHeight="1">
      <c r="A188" s="696"/>
      <c r="B188" s="698"/>
      <c r="C188" s="568"/>
      <c r="D188" s="567"/>
      <c r="E188" s="372"/>
      <c r="F188" s="189" t="str">
        <f t="shared" si="46"/>
        <v/>
      </c>
      <c r="G188" s="384"/>
      <c r="H188" s="190" t="str">
        <f>IF(AND(E188="",G188=""),"",SUM(F188:G195))</f>
        <v/>
      </c>
      <c r="I188" s="191"/>
      <c r="J188" s="222"/>
      <c r="K188" s="222"/>
      <c r="L188" s="197" t="str">
        <f>IF(J188="Duplex",VLOOKUP(M188,'Características dos Cabos MX CH'!$C$12:$I$14,7),(IF(J188="Triplex",VLOOKUP(M188,'Características dos Cabos MX CH'!$C$15:$J$20,8),(IF(J188="Quadruplex",VLOOKUP(M188,'Características dos Cabos MX CH'!$C$21:$K$27,9),(IF(J188="13",VLOOKUP(M188,'Características dos Cabos MX CH'!$C$15:$L$20,10),"")))))))</f>
        <v/>
      </c>
      <c r="M188" s="350" t="str">
        <f t="shared" si="36"/>
        <v/>
      </c>
      <c r="N188" s="377"/>
      <c r="O188" s="192" t="str">
        <f t="shared" si="41"/>
        <v/>
      </c>
      <c r="P188" s="192" t="str">
        <f>IF(O188="","",SUM($O$186:O188)+$Z$186)</f>
        <v/>
      </c>
      <c r="Q188" s="192" t="str">
        <f t="shared" si="37"/>
        <v/>
      </c>
      <c r="R188" s="193" t="str">
        <f>IF(J188="Duplex",VLOOKUP(M188,'Características dos Cabos MX CH'!$C$12:$I$14,5),(IF(J188="Triplex",VLOOKUP(M188,'Características dos Cabos MX CH'!$C$15:$J$20,5),(IF(J188="Quadruplex",VLOOKUP(M188,'Características dos Cabos MX CH'!$C$21:$K$27,5),(IF(J188="13",VLOOKUP(M188,'Características dos Cabos MX CH'!$C$15:$L$20,5),"")))))))</f>
        <v/>
      </c>
      <c r="S188" s="193" t="str">
        <f>IF(J188="Duplex",VLOOKUP(M188,'Características dos Cabos MX CH'!$C$12:$I$14,6),(IF(J188="Triplex",VLOOKUP(M188,'Características dos Cabos MX CH'!$C$15:$J$20,6),(IF(J188="Quadruplex",VLOOKUP(M188,'Características dos Cabos MX CH'!$C$21:$K$27,6),(IF(J188="13",VLOOKUP(M188,'Características dos Cabos MX CH'!$C$15:$L$20,6),"")))))))</f>
        <v/>
      </c>
      <c r="T188" s="194" t="str">
        <f t="shared" si="39"/>
        <v/>
      </c>
      <c r="U188" s="447" t="str">
        <f>IF(J188="Duplex",VLOOKUP(M188,'Características dos Cabos MX CH'!$C$12:$I$14,2),(IF(J188="Triplex",VLOOKUP(M188,'Características dos Cabos MX CH'!$C$15:$J$20,2),(IF(J188="Quadruplex",VLOOKUP(M188,'Características dos Cabos MX CH'!$C$21:$K$27,2),(IF(J188="13",VLOOKUP(M188,'Características dos Cabos MX CH'!$C$15:$L$20,2),"")))))))</f>
        <v/>
      </c>
      <c r="V188" s="193" t="str">
        <f>IF(J188="Duplex",VLOOKUP(M188,'Características dos Cabos MX CH'!$C$12:$I$14,3),(IF(J188="Triplex",VLOOKUP(M188,'Características dos Cabos MX CH'!$C$15:$J$20,3),(IF(J188="Quadruplex",VLOOKUP(M188,'Características dos Cabos MX CH'!$C$21:$K$27,3),(IF(J188="13",VLOOKUP(M188,'Características dos Cabos MX CH'!$C$15:$L$20,3),"")))))))</f>
        <v/>
      </c>
      <c r="W188" s="195" t="str">
        <f t="shared" si="42"/>
        <v/>
      </c>
      <c r="X188" s="195" t="str">
        <f t="shared" si="43"/>
        <v/>
      </c>
      <c r="Y188" s="196" t="str">
        <f t="shared" si="44"/>
        <v/>
      </c>
      <c r="AA188" s="396">
        <f t="shared" si="45"/>
        <v>0</v>
      </c>
      <c r="AB188" s="396">
        <f t="shared" si="38"/>
        <v>0</v>
      </c>
      <c r="AC188" s="395"/>
      <c r="AE188" s="357" t="str">
        <f t="shared" si="35"/>
        <v/>
      </c>
      <c r="AF188" s="426">
        <f t="shared" si="40"/>
        <v>0</v>
      </c>
    </row>
    <row r="189" spans="1:32" ht="15" customHeight="1">
      <c r="A189" s="696"/>
      <c r="B189" s="698"/>
      <c r="C189" s="568"/>
      <c r="D189" s="567"/>
      <c r="E189" s="372"/>
      <c r="F189" s="189" t="str">
        <f t="shared" si="46"/>
        <v/>
      </c>
      <c r="G189" s="384"/>
      <c r="H189" s="190" t="str">
        <f>IF(AND(E189="",G189=""),"",SUM(F189:G195))</f>
        <v/>
      </c>
      <c r="I189" s="191"/>
      <c r="J189" s="222"/>
      <c r="K189" s="222"/>
      <c r="L189" s="197" t="str">
        <f>IF(J189="Duplex",VLOOKUP(M189,'Características dos Cabos MX CH'!$C$12:$I$14,7),(IF(J189="Triplex",VLOOKUP(M189,'Características dos Cabos MX CH'!$C$15:$J$20,8),(IF(J189="Quadruplex",VLOOKUP(M189,'Características dos Cabos MX CH'!$C$21:$K$27,9),(IF(J189="13",VLOOKUP(M189,'Características dos Cabos MX CH'!$C$15:$L$20,10),"")))))))</f>
        <v/>
      </c>
      <c r="M189" s="350" t="str">
        <f t="shared" si="36"/>
        <v/>
      </c>
      <c r="N189" s="377"/>
      <c r="O189" s="192" t="str">
        <f t="shared" si="41"/>
        <v/>
      </c>
      <c r="P189" s="192" t="str">
        <f>IF(O189="","",SUM($O$186:O189)+$Z$186)</f>
        <v/>
      </c>
      <c r="Q189" s="192" t="str">
        <f t="shared" si="37"/>
        <v/>
      </c>
      <c r="R189" s="193" t="str">
        <f>IF(J189="Duplex",VLOOKUP(M189,'Características dos Cabos MX CH'!$C$12:$I$14,5),(IF(J189="Triplex",VLOOKUP(M189,'Características dos Cabos MX CH'!$C$15:$J$20,5),(IF(J189="Quadruplex",VLOOKUP(M189,'Características dos Cabos MX CH'!$C$21:$K$27,5),(IF(J189="13",VLOOKUP(M189,'Características dos Cabos MX CH'!$C$15:$L$20,5),"")))))))</f>
        <v/>
      </c>
      <c r="S189" s="193" t="str">
        <f>IF(J189="Duplex",VLOOKUP(M189,'Características dos Cabos MX CH'!$C$12:$I$14,6),(IF(J189="Triplex",VLOOKUP(M189,'Características dos Cabos MX CH'!$C$15:$J$20,6),(IF(J189="Quadruplex",VLOOKUP(M189,'Características dos Cabos MX CH'!$C$21:$K$27,6),(IF(J189="13",VLOOKUP(M189,'Características dos Cabos MX CH'!$C$15:$L$20,6),"")))))))</f>
        <v/>
      </c>
      <c r="T189" s="194" t="str">
        <f t="shared" si="39"/>
        <v/>
      </c>
      <c r="U189" s="447" t="str">
        <f>IF(J189="Duplex",VLOOKUP(M189,'Características dos Cabos MX CH'!$C$12:$I$14,2),(IF(J189="Triplex",VLOOKUP(M189,'Características dos Cabos MX CH'!$C$15:$J$20,2),(IF(J189="Quadruplex",VLOOKUP(M189,'Características dos Cabos MX CH'!$C$21:$K$27,2),(IF(J189="13",VLOOKUP(M189,'Características dos Cabos MX CH'!$C$15:$L$20,2),"")))))))</f>
        <v/>
      </c>
      <c r="V189" s="193" t="str">
        <f>IF(J189="Duplex",VLOOKUP(M189,'Características dos Cabos MX CH'!$C$12:$I$14,3),(IF(J189="Triplex",VLOOKUP(M189,'Características dos Cabos MX CH'!$C$15:$J$20,3),(IF(J189="Quadruplex",VLOOKUP(M189,'Características dos Cabos MX CH'!$C$21:$K$27,3),(IF(J189="13",VLOOKUP(M189,'Características dos Cabos MX CH'!$C$15:$L$20,3),"")))))))</f>
        <v/>
      </c>
      <c r="W189" s="195" t="str">
        <f t="shared" si="42"/>
        <v/>
      </c>
      <c r="X189" s="195" t="str">
        <f t="shared" si="43"/>
        <v/>
      </c>
      <c r="Y189" s="196" t="str">
        <f t="shared" si="44"/>
        <v/>
      </c>
      <c r="AA189" s="396">
        <f t="shared" si="45"/>
        <v>0</v>
      </c>
      <c r="AB189" s="396">
        <f t="shared" si="38"/>
        <v>0</v>
      </c>
      <c r="AC189" s="395"/>
      <c r="AE189" s="357" t="str">
        <f t="shared" si="35"/>
        <v/>
      </c>
      <c r="AF189" s="426">
        <f t="shared" si="40"/>
        <v>0</v>
      </c>
    </row>
    <row r="190" spans="1:32" ht="15" customHeight="1">
      <c r="A190" s="696"/>
      <c r="B190" s="698"/>
      <c r="C190" s="568"/>
      <c r="D190" s="567"/>
      <c r="E190" s="372"/>
      <c r="F190" s="189" t="str">
        <f t="shared" si="46"/>
        <v/>
      </c>
      <c r="G190" s="384"/>
      <c r="H190" s="190" t="str">
        <f>IF(AND(E190="",G190=""),"",SUM(F190:G195))</f>
        <v/>
      </c>
      <c r="I190" s="191"/>
      <c r="J190" s="222"/>
      <c r="K190" s="222"/>
      <c r="L190" s="197" t="str">
        <f>IF(J190="Duplex",VLOOKUP(M190,'Características dos Cabos MX CH'!$C$12:$I$14,7),(IF(J190="Triplex",VLOOKUP(M190,'Características dos Cabos MX CH'!$C$15:$J$20,8),(IF(J190="Quadruplex",VLOOKUP(M190,'Características dos Cabos MX CH'!$C$21:$K$27,9),(IF(J190="13",VLOOKUP(M190,'Características dos Cabos MX CH'!$C$15:$L$20,10),"")))))))</f>
        <v/>
      </c>
      <c r="M190" s="350" t="str">
        <f t="shared" si="36"/>
        <v/>
      </c>
      <c r="N190" s="377"/>
      <c r="O190" s="192" t="str">
        <f t="shared" si="41"/>
        <v/>
      </c>
      <c r="P190" s="192" t="str">
        <f>IF(O190="","",SUM($O$186:O190)+$Z$186)</f>
        <v/>
      </c>
      <c r="Q190" s="192" t="str">
        <f t="shared" si="37"/>
        <v/>
      </c>
      <c r="R190" s="193" t="str">
        <f>IF(J190="Duplex",VLOOKUP(M190,'Características dos Cabos MX CH'!$C$12:$I$14,5),(IF(J190="Triplex",VLOOKUP(M190,'Características dos Cabos MX CH'!$C$15:$J$20,5),(IF(J190="Quadruplex",VLOOKUP(M190,'Características dos Cabos MX CH'!$C$21:$K$27,5),(IF(J190="13",VLOOKUP(M190,'Características dos Cabos MX CH'!$C$15:$L$20,5),"")))))))</f>
        <v/>
      </c>
      <c r="S190" s="193" t="str">
        <f>IF(J190="Duplex",VLOOKUP(M190,'Características dos Cabos MX CH'!$C$12:$I$14,6),(IF(J190="Triplex",VLOOKUP(M190,'Características dos Cabos MX CH'!$C$15:$J$20,6),(IF(J190="Quadruplex",VLOOKUP(M190,'Características dos Cabos MX CH'!$C$21:$K$27,6),(IF(J190="13",VLOOKUP(M190,'Características dos Cabos MX CH'!$C$15:$L$20,6),"")))))))</f>
        <v/>
      </c>
      <c r="T190" s="194" t="str">
        <f t="shared" si="39"/>
        <v/>
      </c>
      <c r="U190" s="447" t="str">
        <f>IF(J190="Duplex",VLOOKUP(M190,'Características dos Cabos MX CH'!$C$12:$I$14,2),(IF(J190="Triplex",VLOOKUP(M190,'Características dos Cabos MX CH'!$C$15:$J$20,2),(IF(J190="Quadruplex",VLOOKUP(M190,'Características dos Cabos MX CH'!$C$21:$K$27,2),(IF(J190="13",VLOOKUP(M190,'Características dos Cabos MX CH'!$C$15:$L$20,2),"")))))))</f>
        <v/>
      </c>
      <c r="V190" s="193" t="str">
        <f>IF(J190="Duplex",VLOOKUP(M190,'Características dos Cabos MX CH'!$C$12:$I$14,3),(IF(J190="Triplex",VLOOKUP(M190,'Características dos Cabos MX CH'!$C$15:$J$20,3),(IF(J190="Quadruplex",VLOOKUP(M190,'Características dos Cabos MX CH'!$C$21:$K$27,3),(IF(J190="13",VLOOKUP(M190,'Características dos Cabos MX CH'!$C$15:$L$20,3),"")))))))</f>
        <v/>
      </c>
      <c r="W190" s="195" t="str">
        <f t="shared" si="42"/>
        <v/>
      </c>
      <c r="X190" s="195" t="str">
        <f t="shared" si="43"/>
        <v/>
      </c>
      <c r="Y190" s="196" t="str">
        <f t="shared" si="44"/>
        <v/>
      </c>
      <c r="AA190" s="396">
        <f t="shared" si="45"/>
        <v>0</v>
      </c>
      <c r="AB190" s="396">
        <f t="shared" si="38"/>
        <v>0</v>
      </c>
      <c r="AC190" s="395"/>
      <c r="AE190" s="357" t="str">
        <f t="shared" si="35"/>
        <v/>
      </c>
      <c r="AF190" s="426">
        <f t="shared" si="40"/>
        <v>0</v>
      </c>
    </row>
    <row r="191" spans="1:32" ht="15" customHeight="1">
      <c r="A191" s="696"/>
      <c r="B191" s="698"/>
      <c r="C191" s="568"/>
      <c r="D191" s="567"/>
      <c r="E191" s="372"/>
      <c r="F191" s="189" t="str">
        <f t="shared" si="46"/>
        <v/>
      </c>
      <c r="G191" s="384"/>
      <c r="H191" s="190" t="str">
        <f>IF(AND(E191="",G191=""),"",SUM(F191:G195))</f>
        <v/>
      </c>
      <c r="I191" s="191"/>
      <c r="J191" s="222"/>
      <c r="K191" s="222"/>
      <c r="L191" s="197" t="str">
        <f>IF(J191="Duplex",VLOOKUP(M191,'Características dos Cabos MX CH'!$C$12:$I$14,7),(IF(J191="Triplex",VLOOKUP(M191,'Características dos Cabos MX CH'!$C$15:$J$20,8),(IF(J191="Quadruplex",VLOOKUP(M191,'Características dos Cabos MX CH'!$C$21:$K$27,9),(IF(J191="13",VLOOKUP(M191,'Características dos Cabos MX CH'!$C$15:$L$20,10),"")))))))</f>
        <v/>
      </c>
      <c r="M191" s="350" t="str">
        <f t="shared" si="36"/>
        <v/>
      </c>
      <c r="N191" s="377"/>
      <c r="O191" s="192" t="str">
        <f t="shared" si="41"/>
        <v/>
      </c>
      <c r="P191" s="192" t="str">
        <f>IF(O191="","",SUM($O$186:O191)+$Z$186)</f>
        <v/>
      </c>
      <c r="Q191" s="192" t="str">
        <f t="shared" si="37"/>
        <v/>
      </c>
      <c r="R191" s="193" t="str">
        <f>IF(J191="Duplex",VLOOKUP(M191,'Características dos Cabos MX CH'!$C$12:$I$14,5),(IF(J191="Triplex",VLOOKUP(M191,'Características dos Cabos MX CH'!$C$15:$J$20,5),(IF(J191="Quadruplex",VLOOKUP(M191,'Características dos Cabos MX CH'!$C$21:$K$27,5),(IF(J191="13",VLOOKUP(M191,'Características dos Cabos MX CH'!$C$15:$L$20,5),"")))))))</f>
        <v/>
      </c>
      <c r="S191" s="193" t="str">
        <f>IF(J191="Duplex",VLOOKUP(M191,'Características dos Cabos MX CH'!$C$12:$I$14,6),(IF(J191="Triplex",VLOOKUP(M191,'Características dos Cabos MX CH'!$C$15:$J$20,6),(IF(J191="Quadruplex",VLOOKUP(M191,'Características dos Cabos MX CH'!$C$21:$K$27,6),(IF(J191="13",VLOOKUP(M191,'Características dos Cabos MX CH'!$C$15:$L$20,6),"")))))))</f>
        <v/>
      </c>
      <c r="T191" s="194" t="str">
        <f t="shared" si="39"/>
        <v/>
      </c>
      <c r="U191" s="447" t="str">
        <f>IF(J191="Duplex",VLOOKUP(M191,'Características dos Cabos MX CH'!$C$12:$I$14,2),(IF(J191="Triplex",VLOOKUP(M191,'Características dos Cabos MX CH'!$C$15:$J$20,2),(IF(J191="Quadruplex",VLOOKUP(M191,'Características dos Cabos MX CH'!$C$21:$K$27,2),(IF(J191="13",VLOOKUP(M191,'Características dos Cabos MX CH'!$C$15:$L$20,2),"")))))))</f>
        <v/>
      </c>
      <c r="V191" s="193" t="str">
        <f>IF(J191="Duplex",VLOOKUP(M191,'Características dos Cabos MX CH'!$C$12:$I$14,3),(IF(J191="Triplex",VLOOKUP(M191,'Características dos Cabos MX CH'!$C$15:$J$20,3),(IF(J191="Quadruplex",VLOOKUP(M191,'Características dos Cabos MX CH'!$C$21:$K$27,3),(IF(J191="13",VLOOKUP(M191,'Características dos Cabos MX CH'!$C$15:$L$20,3),"")))))))</f>
        <v/>
      </c>
      <c r="W191" s="195" t="str">
        <f t="shared" si="42"/>
        <v/>
      </c>
      <c r="X191" s="195" t="str">
        <f t="shared" si="43"/>
        <v/>
      </c>
      <c r="Y191" s="196" t="str">
        <f t="shared" si="44"/>
        <v/>
      </c>
      <c r="AA191" s="396">
        <f t="shared" si="45"/>
        <v>0</v>
      </c>
      <c r="AB191" s="396">
        <f t="shared" si="38"/>
        <v>0</v>
      </c>
      <c r="AC191" s="395"/>
      <c r="AE191" s="357" t="str">
        <f t="shared" si="35"/>
        <v/>
      </c>
      <c r="AF191" s="426">
        <f t="shared" si="40"/>
        <v>0</v>
      </c>
    </row>
    <row r="192" spans="1:32" ht="15" customHeight="1">
      <c r="A192" s="696"/>
      <c r="B192" s="698"/>
      <c r="C192" s="568"/>
      <c r="D192" s="567"/>
      <c r="E192" s="372"/>
      <c r="F192" s="189" t="str">
        <f t="shared" si="46"/>
        <v/>
      </c>
      <c r="G192" s="384"/>
      <c r="H192" s="190" t="str">
        <f>IF(AND(E192="",G192=""),"",SUM(F192:G195))</f>
        <v/>
      </c>
      <c r="I192" s="191"/>
      <c r="J192" s="222"/>
      <c r="K192" s="222"/>
      <c r="L192" s="197" t="str">
        <f>IF(J192="Duplex",VLOOKUP(M192,'Características dos Cabos MX CH'!$C$12:$I$14,7),(IF(J192="Triplex",VLOOKUP(M192,'Características dos Cabos MX CH'!$C$15:$J$20,8),(IF(J192="Quadruplex",VLOOKUP(M192,'Características dos Cabos MX CH'!$C$21:$K$27,9),(IF(J192="13",VLOOKUP(M192,'Características dos Cabos MX CH'!$C$15:$L$20,10),"")))))))</f>
        <v/>
      </c>
      <c r="M192" s="350" t="str">
        <f t="shared" si="36"/>
        <v/>
      </c>
      <c r="N192" s="377"/>
      <c r="O192" s="192" t="str">
        <f t="shared" si="41"/>
        <v/>
      </c>
      <c r="P192" s="192" t="str">
        <f>IF(O192="","",SUM($O$186:O192)+$Z$186)</f>
        <v/>
      </c>
      <c r="Q192" s="192" t="str">
        <f t="shared" si="37"/>
        <v/>
      </c>
      <c r="R192" s="193" t="str">
        <f>IF(J192="Duplex",VLOOKUP(M192,'Características dos Cabos MX CH'!$C$12:$I$14,5),(IF(J192="Triplex",VLOOKUP(M192,'Características dos Cabos MX CH'!$C$15:$J$20,5),(IF(J192="Quadruplex",VLOOKUP(M192,'Características dos Cabos MX CH'!$C$21:$K$27,5),(IF(J192="13",VLOOKUP(M192,'Características dos Cabos MX CH'!$C$15:$L$20,5),"")))))))</f>
        <v/>
      </c>
      <c r="S192" s="193" t="str">
        <f>IF(J192="Duplex",VLOOKUP(M192,'Características dos Cabos MX CH'!$C$12:$I$14,6),(IF(J192="Triplex",VLOOKUP(M192,'Características dos Cabos MX CH'!$C$15:$J$20,6),(IF(J192="Quadruplex",VLOOKUP(M192,'Características dos Cabos MX CH'!$C$21:$K$27,6),(IF(J192="13",VLOOKUP(M192,'Características dos Cabos MX CH'!$C$15:$L$20,6),"")))))))</f>
        <v/>
      </c>
      <c r="T192" s="194" t="str">
        <f t="shared" si="39"/>
        <v/>
      </c>
      <c r="U192" s="447" t="str">
        <f>IF(J192="Duplex",VLOOKUP(M192,'Características dos Cabos MX CH'!$C$12:$I$14,2),(IF(J192="Triplex",VLOOKUP(M192,'Características dos Cabos MX CH'!$C$15:$J$20,2),(IF(J192="Quadruplex",VLOOKUP(M192,'Características dos Cabos MX CH'!$C$21:$K$27,2),(IF(J192="13",VLOOKUP(M192,'Características dos Cabos MX CH'!$C$15:$L$20,2),"")))))))</f>
        <v/>
      </c>
      <c r="V192" s="193" t="str">
        <f>IF(J192="Duplex",VLOOKUP(M192,'Características dos Cabos MX CH'!$C$12:$I$14,3),(IF(J192="Triplex",VLOOKUP(M192,'Características dos Cabos MX CH'!$C$15:$J$20,3),(IF(J192="Quadruplex",VLOOKUP(M192,'Características dos Cabos MX CH'!$C$21:$K$27,3),(IF(J192="13",VLOOKUP(M192,'Características dos Cabos MX CH'!$C$15:$L$20,3),"")))))))</f>
        <v/>
      </c>
      <c r="W192" s="195" t="str">
        <f t="shared" si="42"/>
        <v/>
      </c>
      <c r="X192" s="195" t="str">
        <f t="shared" si="43"/>
        <v/>
      </c>
      <c r="Y192" s="196" t="str">
        <f t="shared" si="44"/>
        <v/>
      </c>
      <c r="AA192" s="396">
        <f t="shared" si="45"/>
        <v>0</v>
      </c>
      <c r="AB192" s="396">
        <f t="shared" si="38"/>
        <v>0</v>
      </c>
      <c r="AC192" s="395"/>
      <c r="AE192" s="357" t="str">
        <f t="shared" si="35"/>
        <v/>
      </c>
      <c r="AF192" s="426">
        <f t="shared" si="40"/>
        <v>0</v>
      </c>
    </row>
    <row r="193" spans="1:32" ht="15" customHeight="1">
      <c r="A193" s="696"/>
      <c r="B193" s="698"/>
      <c r="C193" s="568"/>
      <c r="D193" s="368"/>
      <c r="E193" s="372"/>
      <c r="F193" s="189" t="str">
        <f t="shared" si="46"/>
        <v/>
      </c>
      <c r="G193" s="384"/>
      <c r="H193" s="190" t="str">
        <f>IF(AND(E193="",G193=""),"",SUM(F193:G195))</f>
        <v/>
      </c>
      <c r="I193" s="191"/>
      <c r="J193" s="222"/>
      <c r="K193" s="222"/>
      <c r="L193" s="197" t="str">
        <f>IF(J193="Duplex",VLOOKUP(M193,'Características dos Cabos MX CH'!$C$12:$I$14,7),(IF(J193="Triplex",VLOOKUP(M193,'Características dos Cabos MX CH'!$C$15:$J$20,8),(IF(J193="Quadruplex",VLOOKUP(M193,'Características dos Cabos MX CH'!$C$21:$K$27,9),(IF(J193="13",VLOOKUP(M193,'Características dos Cabos MX CH'!$C$15:$L$20,10),"")))))))</f>
        <v/>
      </c>
      <c r="M193" s="350" t="str">
        <f t="shared" si="36"/>
        <v/>
      </c>
      <c r="N193" s="377"/>
      <c r="O193" s="192" t="str">
        <f t="shared" si="41"/>
        <v/>
      </c>
      <c r="P193" s="192" t="str">
        <f>IF(O193="","",SUM($O$186:O193)+$Z$186)</f>
        <v/>
      </c>
      <c r="Q193" s="192" t="str">
        <f t="shared" si="37"/>
        <v/>
      </c>
      <c r="R193" s="193" t="str">
        <f>IF(J193="Duplex",VLOOKUP(M193,'Características dos Cabos MX CH'!$C$12:$I$14,5),(IF(J193="Triplex",VLOOKUP(M193,'Características dos Cabos MX CH'!$C$15:$J$20,5),(IF(J193="Quadruplex",VLOOKUP(M193,'Características dos Cabos MX CH'!$C$21:$K$27,5),(IF(J193="13",VLOOKUP(M193,'Características dos Cabos MX CH'!$C$15:$L$20,5),"")))))))</f>
        <v/>
      </c>
      <c r="S193" s="193" t="str">
        <f>IF(J193="Duplex",VLOOKUP(M193,'Características dos Cabos MX CH'!$C$12:$I$14,6),(IF(J193="Triplex",VLOOKUP(M193,'Características dos Cabos MX CH'!$C$15:$J$20,6),(IF(J193="Quadruplex",VLOOKUP(M193,'Características dos Cabos MX CH'!$C$21:$K$27,6),(IF(J193="13",VLOOKUP(M193,'Características dos Cabos MX CH'!$C$15:$L$20,6),"")))))))</f>
        <v/>
      </c>
      <c r="T193" s="194" t="str">
        <f t="shared" si="39"/>
        <v/>
      </c>
      <c r="U193" s="447" t="str">
        <f>IF(J193="Duplex",VLOOKUP(M193,'Características dos Cabos MX CH'!$C$12:$I$14,2),(IF(J193="Triplex",VLOOKUP(M193,'Características dos Cabos MX CH'!$C$15:$J$20,2),(IF(J193="Quadruplex",VLOOKUP(M193,'Características dos Cabos MX CH'!$C$21:$K$27,2),(IF(J193="13",VLOOKUP(M193,'Características dos Cabos MX CH'!$C$15:$L$20,2),"")))))))</f>
        <v/>
      </c>
      <c r="V193" s="193" t="str">
        <f>IF(J193="Duplex",VLOOKUP(M193,'Características dos Cabos MX CH'!$C$12:$I$14,3),(IF(J193="Triplex",VLOOKUP(M193,'Características dos Cabos MX CH'!$C$15:$J$20,3),(IF(J193="Quadruplex",VLOOKUP(M193,'Características dos Cabos MX CH'!$C$21:$K$27,3),(IF(J193="13",VLOOKUP(M193,'Características dos Cabos MX CH'!$C$15:$L$20,3),"")))))))</f>
        <v/>
      </c>
      <c r="W193" s="195" t="str">
        <f t="shared" si="42"/>
        <v/>
      </c>
      <c r="X193" s="195" t="str">
        <f t="shared" si="43"/>
        <v/>
      </c>
      <c r="Y193" s="196" t="str">
        <f t="shared" si="44"/>
        <v/>
      </c>
      <c r="AA193" s="396">
        <f t="shared" si="45"/>
        <v>0</v>
      </c>
      <c r="AB193" s="396">
        <f t="shared" si="38"/>
        <v>0</v>
      </c>
      <c r="AC193" s="395"/>
      <c r="AE193" s="357" t="str">
        <f t="shared" si="35"/>
        <v/>
      </c>
      <c r="AF193" s="426">
        <f t="shared" si="40"/>
        <v>0</v>
      </c>
    </row>
    <row r="194" spans="1:32" ht="15" customHeight="1">
      <c r="A194" s="696"/>
      <c r="B194" s="698"/>
      <c r="C194" s="568"/>
      <c r="D194" s="368"/>
      <c r="E194" s="372"/>
      <c r="F194" s="189" t="str">
        <f t="shared" si="46"/>
        <v/>
      </c>
      <c r="G194" s="384"/>
      <c r="H194" s="190" t="str">
        <f>IF(AND(E194="",G194=""),"",SUM(F194:G195))</f>
        <v/>
      </c>
      <c r="I194" s="191"/>
      <c r="J194" s="222"/>
      <c r="K194" s="222"/>
      <c r="L194" s="197" t="str">
        <f>IF(J194="Duplex",VLOOKUP(M194,'Características dos Cabos MX CH'!$C$12:$I$14,7),(IF(J194="Triplex",VLOOKUP(M194,'Características dos Cabos MX CH'!$C$15:$J$20,8),(IF(J194="Quadruplex",VLOOKUP(M194,'Características dos Cabos MX CH'!$C$21:$K$27,9),(IF(J194="13",VLOOKUP(M194,'Características dos Cabos MX CH'!$C$15:$L$20,10),"")))))))</f>
        <v/>
      </c>
      <c r="M194" s="350" t="str">
        <f t="shared" si="36"/>
        <v/>
      </c>
      <c r="N194" s="377"/>
      <c r="O194" s="192" t="str">
        <f t="shared" si="41"/>
        <v/>
      </c>
      <c r="P194" s="192" t="str">
        <f>IF(O194="","",SUM($O$186:O194)+$Z$186)</f>
        <v/>
      </c>
      <c r="Q194" s="192" t="str">
        <f t="shared" si="37"/>
        <v/>
      </c>
      <c r="R194" s="193" t="str">
        <f>IF(J194="Duplex",VLOOKUP(M194,'Características dos Cabos MX CH'!$C$12:$I$14,5),(IF(J194="Triplex",VLOOKUP(M194,'Características dos Cabos MX CH'!$C$15:$J$20,5),(IF(J194="Quadruplex",VLOOKUP(M194,'Características dos Cabos MX CH'!$C$21:$K$27,5),(IF(J194="13",VLOOKUP(M194,'Características dos Cabos MX CH'!$C$15:$L$20,5),"")))))))</f>
        <v/>
      </c>
      <c r="S194" s="193" t="str">
        <f>IF(J194="Duplex",VLOOKUP(M194,'Características dos Cabos MX CH'!$C$12:$I$14,6),(IF(J194="Triplex",VLOOKUP(M194,'Características dos Cabos MX CH'!$C$15:$J$20,6),(IF(J194="Quadruplex",VLOOKUP(M194,'Características dos Cabos MX CH'!$C$21:$K$27,6),(IF(J194="13",VLOOKUP(M194,'Características dos Cabos MX CH'!$C$15:$L$20,6),"")))))))</f>
        <v/>
      </c>
      <c r="T194" s="194" t="str">
        <f t="shared" si="39"/>
        <v/>
      </c>
      <c r="U194" s="447" t="str">
        <f>IF(J194="Duplex",VLOOKUP(M194,'Características dos Cabos MX CH'!$C$12:$I$14,2),(IF(J194="Triplex",VLOOKUP(M194,'Características dos Cabos MX CH'!$C$15:$J$20,2),(IF(J194="Quadruplex",VLOOKUP(M194,'Características dos Cabos MX CH'!$C$21:$K$27,2),(IF(J194="13",VLOOKUP(M194,'Características dos Cabos MX CH'!$C$15:$L$20,2),"")))))))</f>
        <v/>
      </c>
      <c r="V194" s="193" t="str">
        <f>IF(J194="Duplex",VLOOKUP(M194,'Características dos Cabos MX CH'!$C$12:$I$14,3),(IF(J194="Triplex",VLOOKUP(M194,'Características dos Cabos MX CH'!$C$15:$J$20,3),(IF(J194="Quadruplex",VLOOKUP(M194,'Características dos Cabos MX CH'!$C$21:$K$27,3),(IF(J194="13",VLOOKUP(M194,'Características dos Cabos MX CH'!$C$15:$L$20,3),"")))))))</f>
        <v/>
      </c>
      <c r="W194" s="195" t="str">
        <f t="shared" si="42"/>
        <v/>
      </c>
      <c r="X194" s="195" t="str">
        <f t="shared" si="43"/>
        <v/>
      </c>
      <c r="Y194" s="196" t="str">
        <f t="shared" si="44"/>
        <v/>
      </c>
      <c r="AA194" s="396">
        <f t="shared" si="45"/>
        <v>0</v>
      </c>
      <c r="AB194" s="396">
        <f t="shared" si="38"/>
        <v>0</v>
      </c>
      <c r="AC194" s="395"/>
      <c r="AE194" s="357" t="str">
        <f t="shared" si="35"/>
        <v/>
      </c>
      <c r="AF194" s="426">
        <f t="shared" si="40"/>
        <v>0</v>
      </c>
    </row>
    <row r="195" spans="1:32" ht="15" customHeight="1" thickBot="1">
      <c r="A195" s="697"/>
      <c r="B195" s="699"/>
      <c r="C195" s="570"/>
      <c r="D195" s="370"/>
      <c r="E195" s="373"/>
      <c r="F195" s="199" t="str">
        <f t="shared" si="46"/>
        <v/>
      </c>
      <c r="G195" s="385"/>
      <c r="H195" s="200" t="str">
        <f>IF(AND(E195="",G195=""),"",SUM(F195:G195))</f>
        <v/>
      </c>
      <c r="I195" s="201"/>
      <c r="J195" s="223"/>
      <c r="K195" s="223"/>
      <c r="L195" s="202" t="str">
        <f>IF(J195="Duplex",VLOOKUP(M195,'Características dos Cabos MX CH'!$C$12:$I$14,7),(IF(J195="Triplex",VLOOKUP(M195,'Características dos Cabos MX CH'!$C$15:$J$20,8),(IF(J195="Quadruplex",VLOOKUP(M195,'Características dos Cabos MX CH'!$C$21:$K$27,9),(IF(J195="13",VLOOKUP(M195,'Características dos Cabos MX CH'!$C$15:$L$20,10),"")))))))</f>
        <v/>
      </c>
      <c r="M195" s="353" t="str">
        <f t="shared" si="36"/>
        <v/>
      </c>
      <c r="N195" s="378"/>
      <c r="O195" s="203" t="str">
        <f t="shared" si="41"/>
        <v/>
      </c>
      <c r="P195" s="203" t="str">
        <f>IF(O195="","",SUM($O$186:O195)+$Z$186)</f>
        <v/>
      </c>
      <c r="Q195" s="203" t="str">
        <f t="shared" si="37"/>
        <v/>
      </c>
      <c r="R195" s="204" t="str">
        <f>IF(J195="Duplex",VLOOKUP(M195,'Características dos Cabos MX CH'!$C$12:$I$14,5),(IF(J195="Triplex",VLOOKUP(M195,'Características dos Cabos MX CH'!$C$15:$J$20,5),(IF(J195="Quadruplex",VLOOKUP(M195,'Características dos Cabos MX CH'!$C$21:$K$27,5),(IF(J195="13",VLOOKUP(M195,'Características dos Cabos MX CH'!$C$15:$L$20,5),"")))))))</f>
        <v/>
      </c>
      <c r="S195" s="204" t="str">
        <f>IF(J195="Duplex",VLOOKUP(M195,'Características dos Cabos MX CH'!$C$12:$I$14,6),(IF(J195="Triplex",VLOOKUP(M195,'Características dos Cabos MX CH'!$C$15:$J$20,6),(IF(J195="Quadruplex",VLOOKUP(M195,'Características dos Cabos MX CH'!$C$21:$K$27,6),(IF(J195="13",VLOOKUP(M195,'Características dos Cabos MX CH'!$C$15:$L$20,6),"")))))))</f>
        <v/>
      </c>
      <c r="T195" s="561" t="str">
        <f t="shared" si="39"/>
        <v/>
      </c>
      <c r="U195" s="448" t="str">
        <f>IF(J195="Duplex",VLOOKUP(M195,'Características dos Cabos MX CH'!$C$12:$I$14,2),(IF(J195="Triplex",VLOOKUP(M195,'Características dos Cabos MX CH'!$C$15:$J$20,2),(IF(J195="Quadruplex",VLOOKUP(M195,'Características dos Cabos MX CH'!$C$21:$K$27,2),(IF(J195="13",VLOOKUP(M195,'Características dos Cabos MX CH'!$C$15:$L$20,2),"")))))))</f>
        <v/>
      </c>
      <c r="V195" s="204" t="str">
        <f>IF(J195="Duplex",VLOOKUP(M195,'Características dos Cabos MX CH'!$C$12:$I$14,3),(IF(J195="Triplex",VLOOKUP(M195,'Características dos Cabos MX CH'!$C$15:$J$20,3),(IF(J195="Quadruplex",VLOOKUP(M195,'Características dos Cabos MX CH'!$C$21:$K$27,3),(IF(J195="13",VLOOKUP(M195,'Características dos Cabos MX CH'!$C$15:$L$20,3),"")))))))</f>
        <v/>
      </c>
      <c r="W195" s="206" t="str">
        <f t="shared" si="42"/>
        <v/>
      </c>
      <c r="X195" s="206" t="str">
        <f t="shared" si="43"/>
        <v/>
      </c>
      <c r="Y195" s="207" t="str">
        <f t="shared" si="44"/>
        <v/>
      </c>
      <c r="AA195" s="396">
        <f t="shared" si="45"/>
        <v>0</v>
      </c>
      <c r="AB195" s="396">
        <f t="shared" si="38"/>
        <v>0</v>
      </c>
      <c r="AC195" s="395"/>
      <c r="AE195" s="357" t="str">
        <f t="shared" si="35"/>
        <v/>
      </c>
      <c r="AF195" s="426">
        <f t="shared" si="40"/>
        <v>0</v>
      </c>
    </row>
    <row r="196" ht="13.5" thickTop="1"/>
    <row r="197" spans="1:1" ht="12.75">
      <c r="A197" t="s">
        <v>127</v>
      </c>
    </row>
  </sheetData>
  <sheetProtection algorithmName="SHA-512" hashValue="Jab3vH2a+EaztUU3z+w1KQTIhD+2NsJ59ElQYAwNa1WFXrZJXd1nnTeE+kvxhcODafqOL2L2chgA/7ate9xKfQ==" saltValue="rWWKvRDaqFbfNVkjGYLdvg==" spinCount="100000" sheet="1" selectLockedCells="1"/>
  <mergeCells count="67">
    <mergeCell ref="B176:B185"/>
    <mergeCell ref="B186:B195"/>
    <mergeCell ref="A46:A195"/>
    <mergeCell ref="B46:B55"/>
    <mergeCell ref="B56:B65"/>
    <mergeCell ref="B66:B75"/>
    <mergeCell ref="B76:B85"/>
    <mergeCell ref="B86:B95"/>
    <mergeCell ref="B96:B105"/>
    <mergeCell ref="B106:B115"/>
    <mergeCell ref="B116:B125"/>
    <mergeCell ref="B126:B135"/>
    <mergeCell ref="B136:B145"/>
    <mergeCell ref="B146:B155"/>
    <mergeCell ref="B156:B165"/>
    <mergeCell ref="B166:B175"/>
    <mergeCell ref="U17:U18"/>
    <mergeCell ref="W17:W18"/>
    <mergeCell ref="X17:X18"/>
    <mergeCell ref="Y17:Y18"/>
    <mergeCell ref="AE18:AF18"/>
    <mergeCell ref="A19:A44"/>
    <mergeCell ref="B19:B31"/>
    <mergeCell ref="C19:D19"/>
    <mergeCell ref="B32:B44"/>
    <mergeCell ref="C32:D32"/>
    <mergeCell ref="T17:T18"/>
    <mergeCell ref="P14:Q14"/>
    <mergeCell ref="T14:Y14"/>
    <mergeCell ref="C17:D17"/>
    <mergeCell ref="E17:E18"/>
    <mergeCell ref="G17:G18"/>
    <mergeCell ref="H17:H18"/>
    <mergeCell ref="J17:J18"/>
    <mergeCell ref="K17:K18"/>
    <mergeCell ref="L17:L18"/>
    <mergeCell ref="N17:N18"/>
    <mergeCell ref="O17:O18"/>
    <mergeCell ref="P17:P18"/>
    <mergeCell ref="Q17:Q18"/>
    <mergeCell ref="R17:R18"/>
    <mergeCell ref="S17:S18"/>
    <mergeCell ref="H12:J12"/>
    <mergeCell ref="K12:L12"/>
    <mergeCell ref="N12:O12"/>
    <mergeCell ref="C14:D14"/>
    <mergeCell ref="E14:G14"/>
    <mergeCell ref="H14:J14"/>
    <mergeCell ref="K14:L14"/>
    <mergeCell ref="N14:O14"/>
    <mergeCell ref="C12:D12"/>
    <mergeCell ref="E12:G12"/>
    <mergeCell ref="D8:G8"/>
    <mergeCell ref="J8:N8"/>
    <mergeCell ref="P8:Y8"/>
    <mergeCell ref="H10:J10"/>
    <mergeCell ref="K10:L10"/>
    <mergeCell ref="N10:O10"/>
    <mergeCell ref="P10:Q10"/>
    <mergeCell ref="T10:Y10"/>
    <mergeCell ref="C10:E10"/>
    <mergeCell ref="A1:Y1"/>
    <mergeCell ref="A2:Y2"/>
    <mergeCell ref="A5:Y5"/>
    <mergeCell ref="D7:G7"/>
    <mergeCell ref="I7:N7"/>
    <mergeCell ref="P7:Y7"/>
  </mergeCells>
  <conditionalFormatting sqref="Q15">
    <cfRule type="cellIs" priority="1" dxfId="1" operator="equal">
      <formula>"Dividir Área BT"</formula>
    </cfRule>
  </conditionalFormatting>
  <dataValidations count="6">
    <dataValidation type="list" allowBlank="1" showInputMessage="1" showErrorMessage="1" sqref="K20:K31 K33:K195">
      <formula1>INDIRECT(J20)</formula1>
    </dataValidation>
    <dataValidation type="list" allowBlank="1" showInputMessage="1" showErrorMessage="1" sqref="J20:J31 J33:J195">
      <formula1>Descrição</formula1>
    </dataValidation>
    <dataValidation type="list" allowBlank="1" showInputMessage="1" showErrorMessage="1" sqref="L11">
      <formula1>Sheet2!$K$2:$K$3</formula1>
    </dataValidation>
    <dataValidation type="list" allowBlank="1" showInputMessage="1" showErrorMessage="1" sqref="J13">
      <formula1>Sheet2!$I$2:$I$3</formula1>
    </dataValidation>
    <dataValidation type="list" allowBlank="1" showInputMessage="1" showErrorMessage="1" sqref="D15">
      <formula1>Sheet2!$G$2:$G$3</formula1>
    </dataValidation>
    <dataValidation type="list" allowBlank="1" showInputMessage="1" showErrorMessage="1" sqref="D13">
      <formula1>Sheet2!$F$2:$F$3</formula1>
    </dataValidation>
  </dataValidations>
  <printOptions horizontalCentered="1"/>
  <pageMargins left="0.393700787401575" right="0.393700787401575" top="0.393700787401575" bottom="0.393700787401575" header="0.511811023622047" footer="0.511811023622047"/>
  <pageSetup horizontalDpi="300" verticalDpi="300" orientation="landscape" paperSize="9" scale="72" r:id="rId5"/>
  <headerFooter alignWithMargins="0"/>
  <rowBreaks count="5" manualBreakCount="5">
    <brk id="45" max="32" man="1"/>
    <brk id="75" max="16383" man="1"/>
    <brk id="105" max="16383" man="1"/>
    <brk id="135" max="16383" man="1"/>
    <brk id="165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2" name="Button 8">
              <controlPr defaultSize="0" print="0" autoLine="0" autoPict="0" macro="[0]!Macro1">
                <anchor moveWithCells="1" sizeWithCells="1">
                  <from>
                    <xdr:col>24</xdr:col>
                    <xdr:colOff>342900</xdr:colOff>
                    <xdr:row>2</xdr:row>
                    <xdr:rowOff>133350</xdr:rowOff>
                  </from>
                  <to>
                    <xdr:col>24</xdr:col>
                    <xdr:colOff>1028700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Capa</vt:lpstr>
      <vt:lpstr>BT</vt:lpstr>
      <vt:lpstr>REVISÃO</vt:lpstr>
      <vt:lpstr>MENU</vt:lpstr>
      <vt:lpstr>BT-MX (LOTEAMENTO)</vt:lpstr>
      <vt:lpstr>Características dos Cabos M Lot</vt:lpstr>
      <vt:lpstr>Características dos Cabos</vt:lpstr>
      <vt:lpstr>K% (Rede Convencional)</vt:lpstr>
      <vt:lpstr>BT-MX (CONDOMINIO HORIZONTAL)</vt:lpstr>
      <vt:lpstr>mT</vt:lpstr>
      <vt:lpstr>Características dos Cabos MX CH</vt:lpstr>
      <vt:lpstr>K% (Rede Convencional) (2)</vt:lpstr>
      <vt:lpstr>EXEMPLO</vt:lpstr>
      <vt:lpstr>Características dos Cabos M EX</vt:lpstr>
      <vt:lpstr>e.e.</vt:lpstr>
      <vt:lpstr>Fórmulas</vt:lpstr>
      <vt:lpstr>Sheet2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Equatorial</dc:creator>
  <cp:keywords/>
  <dc:description/>
  <cp:lastModifiedBy>EQUATORIAL</cp:lastModifiedBy>
  <dcterms:created xsi:type="dcterms:W3CDTF">1998-10-17T20:49:47Z</dcterms:created>
  <dcterms:modified xsi:type="dcterms:W3CDTF">2025-12-29T15:40:50Z</dcterms:modified>
  <cp:category/>
</cp:coreProperties>
</file>